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&amp;Terra\Desktop\1HD Ext\EMASI\INTERÁGUAS\PMSB Simplificado\Produto 05\Produto 05 Entregue\Anexo II - Manual e Roteiro Revisados - Final\"/>
    </mc:Choice>
  </mc:AlternateContent>
  <bookViews>
    <workbookView xWindow="0" yWindow="0" windowWidth="22800" windowHeight="8592" firstSheet="9" activeTab="11"/>
  </bookViews>
  <sheets>
    <sheet name="7.1.1 - Caracterização" sheetId="2" r:id="rId1"/>
    <sheet name="7.5.1 Água" sheetId="1" r:id="rId2"/>
    <sheet name="7.5.2 Esgotos" sheetId="4" r:id="rId3"/>
    <sheet name="7.5.3 Lixo" sheetId="5" r:id="rId4"/>
    <sheet name="7.5.4 Drenagem" sheetId="3" r:id="rId5"/>
    <sheet name="8.3.1 Metas" sheetId="6" r:id="rId6"/>
    <sheet name="Populações" sheetId="8" r:id="rId7"/>
    <sheet name="Quadros 8.4.1 a 8.4.4" sheetId="7" r:id="rId8"/>
    <sheet name="Quadros 8.4.5 a 8.4.8 e 8.4.19 " sheetId="9" r:id="rId9"/>
    <sheet name="Quadros 8.4.9 a 8.4.12 e 8.4.20" sheetId="10" r:id="rId10"/>
    <sheet name="Quadros 8.4.13 a 8.4.16e 8.4.21" sheetId="11" r:id="rId11"/>
    <sheet name="Quadros 8.4.17 8.4.18e 8.4.22 " sheetId="12" r:id="rId12"/>
    <sheet name="Quadro 8.4.2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2" l="1"/>
  <c r="Y5" i="12" s="1"/>
  <c r="Z5" i="12"/>
  <c r="AB5" i="12"/>
  <c r="AB9" i="12" s="1"/>
  <c r="X27" i="12" s="1"/>
  <c r="AC5" i="12"/>
  <c r="AE5" i="12" s="1"/>
  <c r="AG5" i="12"/>
  <c r="AG9" i="12" s="1"/>
  <c r="W6" i="12"/>
  <c r="Y6" i="12"/>
  <c r="Z6" i="12"/>
  <c r="AB6" i="12" s="1"/>
  <c r="X24" i="12" s="1"/>
  <c r="AC6" i="12"/>
  <c r="AE6" i="12"/>
  <c r="AG6" i="12"/>
  <c r="Y7" i="12"/>
  <c r="AB7" i="12"/>
  <c r="X25" i="12" s="1"/>
  <c r="AE7" i="12"/>
  <c r="AF7" i="12"/>
  <c r="AG7" i="12"/>
  <c r="AH7" i="12"/>
  <c r="W9" i="12"/>
  <c r="X9" i="12"/>
  <c r="Z9" i="12"/>
  <c r="AA9" i="12"/>
  <c r="AC9" i="12"/>
  <c r="AD9" i="12"/>
  <c r="W14" i="12"/>
  <c r="Y14" i="12" s="1"/>
  <c r="Z14" i="12"/>
  <c r="AB14" i="12"/>
  <c r="AA23" i="12" s="1"/>
  <c r="AC14" i="12"/>
  <c r="AE14" i="12" s="1"/>
  <c r="AG14" i="12"/>
  <c r="AG18" i="12" s="1"/>
  <c r="W15" i="12"/>
  <c r="Y15" i="12" s="1"/>
  <c r="Z24" i="12" s="1"/>
  <c r="Z15" i="12"/>
  <c r="AB15" i="12" s="1"/>
  <c r="AA24" i="12" s="1"/>
  <c r="AC15" i="12"/>
  <c r="AE15" i="12" s="1"/>
  <c r="AG15" i="12"/>
  <c r="Y16" i="12"/>
  <c r="AB16" i="12"/>
  <c r="AA25" i="12" s="1"/>
  <c r="AE16" i="12"/>
  <c r="AF16" i="12"/>
  <c r="AG16" i="12"/>
  <c r="AH16" i="12"/>
  <c r="W18" i="12"/>
  <c r="X18" i="12"/>
  <c r="Z18" i="12"/>
  <c r="AA18" i="12"/>
  <c r="AC18" i="12"/>
  <c r="AD18" i="12"/>
  <c r="W24" i="12"/>
  <c r="Y24" i="12"/>
  <c r="W25" i="12"/>
  <c r="Y25" i="12"/>
  <c r="Z25" i="12"/>
  <c r="AB25" i="12"/>
  <c r="W26" i="12"/>
  <c r="X26" i="12"/>
  <c r="Y26" i="12"/>
  <c r="Z26" i="12"/>
  <c r="AC26" i="12" s="1"/>
  <c r="AA26" i="12"/>
  <c r="AB26" i="12"/>
  <c r="W5" i="11"/>
  <c r="X5" i="11"/>
  <c r="Y5" i="11"/>
  <c r="Z5" i="11"/>
  <c r="AB5" i="11" s="1"/>
  <c r="AA5" i="11"/>
  <c r="AC5" i="11"/>
  <c r="AE5" i="11" s="1"/>
  <c r="AD5" i="11"/>
  <c r="AG5" i="11" s="1"/>
  <c r="AG9" i="11" s="1"/>
  <c r="W6" i="11"/>
  <c r="X6" i="11"/>
  <c r="Y6" i="11"/>
  <c r="Z6" i="11"/>
  <c r="AB6" i="11" s="1"/>
  <c r="X24" i="11" s="1"/>
  <c r="AA6" i="11"/>
  <c r="AC6" i="11"/>
  <c r="AE6" i="11" s="1"/>
  <c r="AD6" i="11"/>
  <c r="AG6" i="11" s="1"/>
  <c r="Y7" i="11"/>
  <c r="AB7" i="11"/>
  <c r="AE7" i="11"/>
  <c r="AH7" i="11" s="1"/>
  <c r="AF7" i="11"/>
  <c r="AG7" i="11"/>
  <c r="Y8" i="11"/>
  <c r="AB8" i="11"/>
  <c r="X26" i="11" s="1"/>
  <c r="AE8" i="11"/>
  <c r="AF8" i="11"/>
  <c r="AG8" i="11"/>
  <c r="AH8" i="11"/>
  <c r="W9" i="11"/>
  <c r="X9" i="11"/>
  <c r="Y9" i="11"/>
  <c r="Z9" i="11"/>
  <c r="AA9" i="11"/>
  <c r="AC9" i="11"/>
  <c r="AD9" i="11"/>
  <c r="W14" i="11"/>
  <c r="Y14" i="11" s="1"/>
  <c r="X14" i="11"/>
  <c r="Z14" i="11"/>
  <c r="Z18" i="11" s="1"/>
  <c r="AA14" i="11"/>
  <c r="AC14" i="11"/>
  <c r="AE14" i="11" s="1"/>
  <c r="AD14" i="11"/>
  <c r="AD18" i="11" s="1"/>
  <c r="W15" i="11"/>
  <c r="Y15" i="11" s="1"/>
  <c r="Z24" i="11" s="1"/>
  <c r="X15" i="11"/>
  <c r="Z15" i="11"/>
  <c r="AB15" i="11" s="1"/>
  <c r="AA24" i="11" s="1"/>
  <c r="AA15" i="11"/>
  <c r="AC15" i="11"/>
  <c r="AD15" i="11"/>
  <c r="AE15" i="11" s="1"/>
  <c r="Y16" i="11"/>
  <c r="AB16" i="11"/>
  <c r="AC16" i="11"/>
  <c r="AF16" i="11" s="1"/>
  <c r="AE16" i="11"/>
  <c r="AH16" i="11" s="1"/>
  <c r="AG16" i="11"/>
  <c r="Y17" i="11"/>
  <c r="Z26" i="11" s="1"/>
  <c r="AB17" i="11"/>
  <c r="AE17" i="11"/>
  <c r="AH17" i="11" s="1"/>
  <c r="AF17" i="11"/>
  <c r="AG17" i="11"/>
  <c r="W18" i="11"/>
  <c r="X18" i="11"/>
  <c r="AA18" i="11"/>
  <c r="AC18" i="11"/>
  <c r="W23" i="11"/>
  <c r="W24" i="11"/>
  <c r="W25" i="11"/>
  <c r="X25" i="11"/>
  <c r="Y25" i="11"/>
  <c r="Z25" i="11"/>
  <c r="AC25" i="11" s="1"/>
  <c r="AA25" i="11"/>
  <c r="AD25" i="11"/>
  <c r="W26" i="11"/>
  <c r="Y26" i="11"/>
  <c r="AA26" i="11"/>
  <c r="AB26" i="11"/>
  <c r="W27" i="11"/>
  <c r="AH5" i="10"/>
  <c r="AJ5" i="10" s="1"/>
  <c r="AK5" i="10"/>
  <c r="AM5" i="10"/>
  <c r="AM9" i="10" s="1"/>
  <c r="AI27" i="10" s="1"/>
  <c r="AN5" i="10"/>
  <c r="AP5" i="10" s="1"/>
  <c r="AR5" i="10"/>
  <c r="AR9" i="10" s="1"/>
  <c r="AH6" i="10"/>
  <c r="AI6" i="10"/>
  <c r="AJ6" i="10"/>
  <c r="AH24" i="10" s="1"/>
  <c r="AK6" i="10"/>
  <c r="AL6" i="10"/>
  <c r="AM6" i="10"/>
  <c r="AN6" i="10"/>
  <c r="AP6" i="10" s="1"/>
  <c r="AO6" i="10"/>
  <c r="AR6" i="10"/>
  <c r="AH7" i="10"/>
  <c r="AI7" i="10"/>
  <c r="AJ7" i="10"/>
  <c r="AK7" i="10"/>
  <c r="AL7" i="10"/>
  <c r="AM7" i="10"/>
  <c r="AN7" i="10"/>
  <c r="AP7" i="10" s="1"/>
  <c r="AO7" i="10"/>
  <c r="AR7" i="10"/>
  <c r="AJ8" i="10"/>
  <c r="AM8" i="10"/>
  <c r="AP8" i="10"/>
  <c r="AJ26" i="10" s="1"/>
  <c r="AQ8" i="10"/>
  <c r="AR8" i="10"/>
  <c r="AH9" i="10"/>
  <c r="AI9" i="10"/>
  <c r="AK9" i="10"/>
  <c r="AL9" i="10"/>
  <c r="AO9" i="10"/>
  <c r="AH14" i="10"/>
  <c r="AJ14" i="10" s="1"/>
  <c r="AK14" i="10"/>
  <c r="AM14" i="10"/>
  <c r="AL23" i="10" s="1"/>
  <c r="AN14" i="10"/>
  <c r="AP14" i="10" s="1"/>
  <c r="AR14" i="10"/>
  <c r="AH15" i="10"/>
  <c r="AI15" i="10"/>
  <c r="AJ15" i="10"/>
  <c r="AK24" i="10" s="1"/>
  <c r="AK15" i="10"/>
  <c r="AL15" i="10"/>
  <c r="AM15" i="10" s="1"/>
  <c r="AL24" i="10" s="1"/>
  <c r="AN15" i="10"/>
  <c r="AP15" i="10" s="1"/>
  <c r="AO15" i="10"/>
  <c r="AR15" i="10"/>
  <c r="AH16" i="10"/>
  <c r="AI16" i="10"/>
  <c r="AJ16" i="10"/>
  <c r="AK25" i="10" s="1"/>
  <c r="AK16" i="10"/>
  <c r="AM16" i="10"/>
  <c r="AN16" i="10"/>
  <c r="AP16" i="10"/>
  <c r="AM25" i="10" s="1"/>
  <c r="AQ16" i="10"/>
  <c r="AR16" i="10"/>
  <c r="AJ17" i="10"/>
  <c r="AK26" i="10" s="1"/>
  <c r="AM17" i="10"/>
  <c r="AP17" i="10"/>
  <c r="AS17" i="10" s="1"/>
  <c r="AQ17" i="10"/>
  <c r="AR17" i="10"/>
  <c r="AH18" i="10"/>
  <c r="AI18" i="10"/>
  <c r="AK18" i="10"/>
  <c r="AL18" i="10"/>
  <c r="AN18" i="10"/>
  <c r="AO18" i="10"/>
  <c r="AR18" i="10"/>
  <c r="AI24" i="10"/>
  <c r="AH25" i="10"/>
  <c r="AI25" i="10"/>
  <c r="AL25" i="10"/>
  <c r="AO25" i="10" s="1"/>
  <c r="AH26" i="10"/>
  <c r="AI26" i="10"/>
  <c r="AO26" i="10" s="1"/>
  <c r="AL26" i="10"/>
  <c r="AM26" i="10"/>
  <c r="AH5" i="9"/>
  <c r="AJ5" i="9" s="1"/>
  <c r="AK5" i="9"/>
  <c r="AM5" i="9"/>
  <c r="AN5" i="9"/>
  <c r="AQ5" i="9" s="1"/>
  <c r="AQ10" i="9" s="1"/>
  <c r="AP5" i="9"/>
  <c r="AS5" i="9" s="1"/>
  <c r="AR5" i="9"/>
  <c r="AI6" i="9"/>
  <c r="AJ6" i="9" s="1"/>
  <c r="AH26" i="9" s="1"/>
  <c r="AL6" i="9"/>
  <c r="AM6" i="9" s="1"/>
  <c r="AI26" i="9" s="1"/>
  <c r="AO6" i="9"/>
  <c r="AR6" i="9" s="1"/>
  <c r="AQ6" i="9"/>
  <c r="AH7" i="9"/>
  <c r="AI7" i="9"/>
  <c r="AJ7" i="9" s="1"/>
  <c r="AH27" i="9" s="1"/>
  <c r="AK7" i="9"/>
  <c r="AL7" i="9"/>
  <c r="AM7" i="9"/>
  <c r="AI27" i="9" s="1"/>
  <c r="AN7" i="9"/>
  <c r="AP7" i="9" s="1"/>
  <c r="AO7" i="9"/>
  <c r="AR7" i="9" s="1"/>
  <c r="AQ7" i="9"/>
  <c r="AH8" i="9"/>
  <c r="AJ8" i="9"/>
  <c r="AK8" i="9"/>
  <c r="AM8" i="9" s="1"/>
  <c r="AI28" i="9" s="1"/>
  <c r="AN8" i="9"/>
  <c r="AP8" i="9"/>
  <c r="AJ28" i="9" s="1"/>
  <c r="AQ8" i="9"/>
  <c r="AR8" i="9"/>
  <c r="AJ9" i="9"/>
  <c r="AS9" i="9" s="1"/>
  <c r="AM9" i="9"/>
  <c r="AP9" i="9"/>
  <c r="AQ9" i="9"/>
  <c r="AR9" i="9"/>
  <c r="AH10" i="9"/>
  <c r="AK10" i="9"/>
  <c r="AN10" i="9"/>
  <c r="AO10" i="9"/>
  <c r="AH15" i="9"/>
  <c r="AJ15" i="9" s="1"/>
  <c r="AK15" i="9"/>
  <c r="AM15" i="9"/>
  <c r="AL25" i="9" s="1"/>
  <c r="AN15" i="9"/>
  <c r="AP15" i="9" s="1"/>
  <c r="AR15" i="9"/>
  <c r="AI16" i="9"/>
  <c r="AJ16" i="9" s="1"/>
  <c r="AK26" i="9" s="1"/>
  <c r="AL16" i="9"/>
  <c r="AM16" i="9" s="1"/>
  <c r="AL26" i="9" s="1"/>
  <c r="AO16" i="9"/>
  <c r="AP16" i="9" s="1"/>
  <c r="AQ16" i="9"/>
  <c r="AI17" i="9"/>
  <c r="AJ17" i="9"/>
  <c r="AK27" i="9" s="1"/>
  <c r="AM17" i="9"/>
  <c r="AN17" i="9"/>
  <c r="AP17" i="9" s="1"/>
  <c r="AQ17" i="9"/>
  <c r="AR17" i="9"/>
  <c r="AH18" i="9"/>
  <c r="AJ18" i="9"/>
  <c r="AK28" i="9" s="1"/>
  <c r="AK18" i="9"/>
  <c r="AM18" i="9" s="1"/>
  <c r="AL28" i="9" s="1"/>
  <c r="AN18" i="9"/>
  <c r="AP18" i="9"/>
  <c r="AM28" i="9" s="1"/>
  <c r="AQ18" i="9"/>
  <c r="AR18" i="9"/>
  <c r="AJ19" i="9"/>
  <c r="AS19" i="9" s="1"/>
  <c r="AM19" i="9"/>
  <c r="AP19" i="9"/>
  <c r="AQ19" i="9"/>
  <c r="AR19" i="9"/>
  <c r="AH20" i="9"/>
  <c r="AI20" i="9"/>
  <c r="AK20" i="9"/>
  <c r="AN20" i="9"/>
  <c r="AO20" i="9"/>
  <c r="AJ25" i="9"/>
  <c r="AL27" i="9"/>
  <c r="AH28" i="9"/>
  <c r="AI29" i="9"/>
  <c r="AJ29" i="9"/>
  <c r="AL29" i="9"/>
  <c r="AM29" i="9"/>
  <c r="AP29" i="9" s="1"/>
  <c r="W23" i="12" l="1"/>
  <c r="Y9" i="12"/>
  <c r="W27" i="12" s="1"/>
  <c r="AH5" i="12"/>
  <c r="AH9" i="12" s="1"/>
  <c r="AE9" i="12"/>
  <c r="Y27" i="12" s="1"/>
  <c r="Y23" i="12"/>
  <c r="AH6" i="12"/>
  <c r="AF6" i="12"/>
  <c r="AC25" i="12"/>
  <c r="X23" i="12"/>
  <c r="AD25" i="12"/>
  <c r="AD23" i="12"/>
  <c r="AF5" i="12"/>
  <c r="AE26" i="12"/>
  <c r="AF26" i="12" s="1"/>
  <c r="AH15" i="12"/>
  <c r="AB24" i="12"/>
  <c r="AE24" i="12" s="1"/>
  <c r="AH14" i="12"/>
  <c r="AH18" i="12" s="1"/>
  <c r="AE18" i="12"/>
  <c r="AB27" i="12" s="1"/>
  <c r="AE27" i="12" s="1"/>
  <c r="AB23" i="12"/>
  <c r="Z23" i="12"/>
  <c r="AC23" i="12" s="1"/>
  <c r="Y18" i="12"/>
  <c r="Z27" i="12" s="1"/>
  <c r="AC27" i="12" s="1"/>
  <c r="AF15" i="12"/>
  <c r="AD26" i="12"/>
  <c r="AF14" i="12"/>
  <c r="AD24" i="12"/>
  <c r="AB18" i="12"/>
  <c r="AA27" i="12" s="1"/>
  <c r="AD27" i="12" s="1"/>
  <c r="AE25" i="12"/>
  <c r="AF25" i="12" s="1"/>
  <c r="AC24" i="12"/>
  <c r="Y24" i="11"/>
  <c r="AH6" i="11"/>
  <c r="X23" i="11"/>
  <c r="AB9" i="11"/>
  <c r="X27" i="11" s="1"/>
  <c r="AE9" i="11"/>
  <c r="Y27" i="11" s="1"/>
  <c r="Y23" i="11"/>
  <c r="AH5" i="11"/>
  <c r="AH9" i="11" s="1"/>
  <c r="AB25" i="11"/>
  <c r="AF6" i="11"/>
  <c r="AF5" i="11"/>
  <c r="AE26" i="11"/>
  <c r="AB24" i="11"/>
  <c r="AH15" i="11"/>
  <c r="AE18" i="11"/>
  <c r="AB27" i="11" s="1"/>
  <c r="AH14" i="11"/>
  <c r="AH18" i="11" s="1"/>
  <c r="AB23" i="11"/>
  <c r="Z23" i="11"/>
  <c r="AC23" i="11" s="1"/>
  <c r="Y18" i="11"/>
  <c r="Z27" i="11" s="1"/>
  <c r="AC27" i="11" s="1"/>
  <c r="AD26" i="11"/>
  <c r="AG15" i="11"/>
  <c r="AG14" i="11"/>
  <c r="AG18" i="11" s="1"/>
  <c r="AE23" i="11"/>
  <c r="AE27" i="11"/>
  <c r="AC26" i="11"/>
  <c r="AD24" i="11"/>
  <c r="AF15" i="11"/>
  <c r="AF14" i="11"/>
  <c r="AF18" i="11" s="1"/>
  <c r="AB14" i="11"/>
  <c r="AE25" i="11"/>
  <c r="AF25" i="11" s="1"/>
  <c r="AC24" i="11"/>
  <c r="AS6" i="10"/>
  <c r="AJ24" i="10"/>
  <c r="AS5" i="10"/>
  <c r="AP9" i="10"/>
  <c r="AJ27" i="10" s="1"/>
  <c r="AJ23" i="10"/>
  <c r="AS7" i="10"/>
  <c r="AJ25" i="10"/>
  <c r="AJ9" i="10"/>
  <c r="AH27" i="10" s="1"/>
  <c r="AH23" i="10"/>
  <c r="AP26" i="10"/>
  <c r="AI23" i="10"/>
  <c r="AP25" i="10"/>
  <c r="AQ25" i="10" s="1"/>
  <c r="AN25" i="10"/>
  <c r="AN24" i="10"/>
  <c r="AS8" i="10"/>
  <c r="AQ7" i="10"/>
  <c r="AQ6" i="10"/>
  <c r="AQ5" i="10"/>
  <c r="AN26" i="10"/>
  <c r="AQ26" i="10" s="1"/>
  <c r="AO23" i="10"/>
  <c r="AN9" i="10"/>
  <c r="AS15" i="10"/>
  <c r="AM24" i="10"/>
  <c r="AP24" i="10" s="1"/>
  <c r="AS14" i="10"/>
  <c r="AS18" i="10" s="1"/>
  <c r="AP18" i="10"/>
  <c r="AM27" i="10" s="1"/>
  <c r="AM23" i="10"/>
  <c r="AP23" i="10" s="1"/>
  <c r="AK23" i="10"/>
  <c r="AN23" i="10" s="1"/>
  <c r="AJ18" i="10"/>
  <c r="AK27" i="10" s="1"/>
  <c r="AN27" i="10" s="1"/>
  <c r="AO24" i="10"/>
  <c r="AM18" i="10"/>
  <c r="AL27" i="10" s="1"/>
  <c r="AO27" i="10" s="1"/>
  <c r="AS16" i="10"/>
  <c r="AQ15" i="10"/>
  <c r="AQ14" i="10"/>
  <c r="AM10" i="9"/>
  <c r="AI30" i="9" s="1"/>
  <c r="AS7" i="9"/>
  <c r="AJ27" i="9"/>
  <c r="AR10" i="9"/>
  <c r="AH25" i="9"/>
  <c r="AJ10" i="9"/>
  <c r="AH30" i="9" s="1"/>
  <c r="AH29" i="9"/>
  <c r="AO27" i="9"/>
  <c r="AI25" i="9"/>
  <c r="AN26" i="9"/>
  <c r="AI10" i="9"/>
  <c r="AS8" i="9"/>
  <c r="AP6" i="9"/>
  <c r="AO29" i="9"/>
  <c r="AN28" i="9"/>
  <c r="AL10" i="9"/>
  <c r="AO25" i="9"/>
  <c r="AS16" i="9"/>
  <c r="AM26" i="9"/>
  <c r="AS15" i="9"/>
  <c r="AP20" i="9"/>
  <c r="AM30" i="9" s="1"/>
  <c r="AM25" i="9"/>
  <c r="AP25" i="9" s="1"/>
  <c r="AM27" i="9"/>
  <c r="AP27" i="9" s="1"/>
  <c r="AS17" i="9"/>
  <c r="AK25" i="9"/>
  <c r="AJ20" i="9"/>
  <c r="AK30" i="9" s="1"/>
  <c r="AN30" i="9" s="1"/>
  <c r="AN29" i="9"/>
  <c r="AQ29" i="9" s="1"/>
  <c r="AO26" i="9"/>
  <c r="AM20" i="9"/>
  <c r="AL30" i="9" s="1"/>
  <c r="AS18" i="9"/>
  <c r="AQ15" i="9"/>
  <c r="AQ20" i="9" s="1"/>
  <c r="AN27" i="9"/>
  <c r="AQ27" i="9" s="1"/>
  <c r="AK29" i="9"/>
  <c r="AP28" i="9"/>
  <c r="AN25" i="9"/>
  <c r="AQ25" i="9" s="1"/>
  <c r="AL20" i="9"/>
  <c r="AO30" i="9"/>
  <c r="AO28" i="9"/>
  <c r="AQ28" i="9" s="1"/>
  <c r="AR16" i="9"/>
  <c r="AR20" i="9" s="1"/>
  <c r="J6" i="12"/>
  <c r="AF24" i="12" l="1"/>
  <c r="AF9" i="12"/>
  <c r="AF23" i="12"/>
  <c r="AE23" i="12"/>
  <c r="AF27" i="12"/>
  <c r="AF18" i="12"/>
  <c r="AE24" i="11"/>
  <c r="AF9" i="11"/>
  <c r="AF24" i="11"/>
  <c r="AA23" i="11"/>
  <c r="AD23" i="11" s="1"/>
  <c r="AF23" i="11" s="1"/>
  <c r="AB18" i="11"/>
  <c r="AA27" i="11" s="1"/>
  <c r="AD27" i="11" s="1"/>
  <c r="AF27" i="11" s="1"/>
  <c r="AF26" i="11"/>
  <c r="AS9" i="10"/>
  <c r="AQ9" i="10"/>
  <c r="AQ24" i="10"/>
  <c r="AP27" i="10"/>
  <c r="AQ27" i="10" s="1"/>
  <c r="AQ23" i="10"/>
  <c r="AQ18" i="10"/>
  <c r="AS6" i="9"/>
  <c r="AS10" i="9" s="1"/>
  <c r="AP10" i="9"/>
  <c r="AJ30" i="9" s="1"/>
  <c r="AP30" i="9" s="1"/>
  <c r="AQ30" i="9" s="1"/>
  <c r="AJ26" i="9"/>
  <c r="AP26" i="9" s="1"/>
  <c r="AQ26" i="9" s="1"/>
  <c r="AS20" i="9"/>
  <c r="AB7" i="7"/>
  <c r="D8" i="13" l="1"/>
  <c r="G8" i="13"/>
  <c r="J8" i="13"/>
  <c r="D18" i="13"/>
  <c r="G18" i="13"/>
  <c r="J18" i="13"/>
  <c r="F29" i="13"/>
  <c r="G29" i="13"/>
  <c r="H29" i="13"/>
  <c r="M18" i="13" l="1"/>
  <c r="M8" i="13"/>
  <c r="I17" i="11" l="1"/>
  <c r="I28" i="11" s="1"/>
  <c r="I39" i="11" s="1"/>
  <c r="B6" i="11"/>
  <c r="I6" i="11" s="1"/>
  <c r="T7" i="7"/>
  <c r="T52" i="7" s="1"/>
  <c r="B35" i="9" s="1"/>
  <c r="I37" i="9" s="1"/>
  <c r="C14" i="7"/>
  <c r="D14" i="7" s="1"/>
  <c r="E14" i="7" s="1"/>
  <c r="C16" i="6"/>
  <c r="G7" i="3"/>
  <c r="F7" i="3"/>
  <c r="H7" i="3" s="1"/>
  <c r="H6" i="3"/>
  <c r="G6" i="3"/>
  <c r="F6" i="3"/>
  <c r="G5" i="3"/>
  <c r="F5" i="3"/>
  <c r="H5" i="3" s="1"/>
  <c r="H4" i="3"/>
  <c r="G4" i="3"/>
  <c r="F4" i="3"/>
  <c r="H5" i="1"/>
  <c r="B6" i="9" l="1"/>
  <c r="U6" i="9" s="1"/>
  <c r="AA6" i="9" s="1"/>
  <c r="AG7" i="7"/>
  <c r="AM7" i="7" s="1"/>
  <c r="AM8" i="7" s="1"/>
  <c r="AM9" i="7" s="1"/>
  <c r="AM10" i="7" s="1"/>
  <c r="O6" i="11"/>
  <c r="O17" i="11" s="1"/>
  <c r="O28" i="11" s="1"/>
  <c r="O39" i="11" s="1"/>
  <c r="B15" i="11"/>
  <c r="Z7" i="7"/>
  <c r="AG34" i="7"/>
  <c r="AG52" i="7"/>
  <c r="AG53" i="7" s="1"/>
  <c r="AG54" i="7" s="1"/>
  <c r="AG55" i="7" s="1"/>
  <c r="AG15" i="7"/>
  <c r="AG44" i="7"/>
  <c r="AG45" i="7" s="1"/>
  <c r="AG46" i="7" s="1"/>
  <c r="AG47" i="7" s="1"/>
  <c r="T34" i="7"/>
  <c r="T44" i="7"/>
  <c r="T15" i="7"/>
  <c r="B15" i="9" s="1"/>
  <c r="I17" i="9" s="1"/>
  <c r="F6" i="2"/>
  <c r="J8" i="2" s="1"/>
  <c r="G8" i="2"/>
  <c r="F8" i="2"/>
  <c r="E8" i="2"/>
  <c r="J10" i="2"/>
  <c r="I10" i="2"/>
  <c r="I8" i="2"/>
  <c r="I6" i="9" l="1"/>
  <c r="Z34" i="7"/>
  <c r="B26" i="10"/>
  <c r="I28" i="10" s="1"/>
  <c r="O28" i="10" s="1"/>
  <c r="B26" i="11"/>
  <c r="B34" i="11" s="1"/>
  <c r="AG16" i="7"/>
  <c r="AG17" i="7" s="1"/>
  <c r="AG18" i="7" s="1"/>
  <c r="AG26" i="7"/>
  <c r="AM15" i="7"/>
  <c r="AM16" i="7" s="1"/>
  <c r="AM17" i="7" s="1"/>
  <c r="AM18" i="7" s="1"/>
  <c r="AG35" i="7"/>
  <c r="AG36" i="7" s="1"/>
  <c r="AG37" i="7" s="1"/>
  <c r="AM34" i="7"/>
  <c r="AM35" i="7" s="1"/>
  <c r="AM36" i="7" s="1"/>
  <c r="AM37" i="7" s="1"/>
  <c r="T26" i="7"/>
  <c r="Z15" i="7"/>
  <c r="H15" i="3"/>
  <c r="H14" i="3"/>
  <c r="G15" i="3"/>
  <c r="F15" i="3"/>
  <c r="F14" i="3"/>
  <c r="H17" i="5"/>
  <c r="G17" i="5"/>
  <c r="F17" i="5"/>
  <c r="H16" i="5"/>
  <c r="F16" i="5"/>
  <c r="H11" i="4"/>
  <c r="G11" i="4"/>
  <c r="F11" i="4"/>
  <c r="H10" i="4"/>
  <c r="F10" i="4"/>
  <c r="Z26" i="7" l="1"/>
  <c r="B6" i="10"/>
  <c r="I6" i="10" s="1"/>
  <c r="AG27" i="7"/>
  <c r="AG28" i="7" s="1"/>
  <c r="AG29" i="7" s="1"/>
  <c r="AM26" i="7"/>
  <c r="AM27" i="7" s="1"/>
  <c r="AM28" i="7" s="1"/>
  <c r="AM29" i="7" s="1"/>
  <c r="H4" i="1"/>
  <c r="J6" i="1" s="1"/>
  <c r="I17" i="10" l="1"/>
  <c r="O6" i="10"/>
  <c r="C9" i="6"/>
  <c r="U6" i="10" l="1"/>
  <c r="AA6" i="10" s="1"/>
  <c r="O17" i="10"/>
  <c r="O18" i="12"/>
  <c r="O19" i="12" s="1"/>
  <c r="O20" i="12" s="1"/>
  <c r="L18" i="12"/>
  <c r="L19" i="12" s="1"/>
  <c r="R19" i="12" s="1"/>
  <c r="I18" i="12"/>
  <c r="I19" i="12" s="1"/>
  <c r="I20" i="12" s="1"/>
  <c r="R17" i="12"/>
  <c r="O7" i="12"/>
  <c r="O8" i="12" s="1"/>
  <c r="O9" i="12" s="1"/>
  <c r="L7" i="12"/>
  <c r="R7" i="12" s="1"/>
  <c r="I7" i="12"/>
  <c r="I8" i="12" s="1"/>
  <c r="I9" i="12" s="1"/>
  <c r="R6" i="12"/>
  <c r="B25" i="12"/>
  <c r="B26" i="12" s="1"/>
  <c r="B27" i="12" s="1"/>
  <c r="B7" i="12"/>
  <c r="B8" i="12" s="1"/>
  <c r="B9" i="12" s="1"/>
  <c r="L39" i="11"/>
  <c r="L40" i="11" s="1"/>
  <c r="L29" i="11"/>
  <c r="L30" i="11" s="1"/>
  <c r="R30" i="11" s="1"/>
  <c r="O40" i="11"/>
  <c r="O41" i="11" s="1"/>
  <c r="O42" i="11" s="1"/>
  <c r="I40" i="11"/>
  <c r="I41" i="11" s="1"/>
  <c r="I42" i="11" s="1"/>
  <c r="L17" i="11"/>
  <c r="L18" i="11" s="1"/>
  <c r="L19" i="11" s="1"/>
  <c r="R19" i="11" s="1"/>
  <c r="O29" i="11"/>
  <c r="O30" i="11" s="1"/>
  <c r="O31" i="11" s="1"/>
  <c r="R28" i="11"/>
  <c r="O18" i="11"/>
  <c r="O19" i="11" s="1"/>
  <c r="O20" i="11" s="1"/>
  <c r="O7" i="11"/>
  <c r="O8" i="11" s="1"/>
  <c r="O9" i="11" s="1"/>
  <c r="R6" i="11"/>
  <c r="I29" i="11"/>
  <c r="I30" i="11" s="1"/>
  <c r="I31" i="11" s="1"/>
  <c r="I18" i="11"/>
  <c r="I19" i="11" s="1"/>
  <c r="I20" i="11" s="1"/>
  <c r="I7" i="11"/>
  <c r="I8" i="11" s="1"/>
  <c r="I9" i="11" s="1"/>
  <c r="L7" i="11"/>
  <c r="L8" i="11" s="1"/>
  <c r="R8" i="11" s="1"/>
  <c r="B35" i="11"/>
  <c r="B36" i="11" s="1"/>
  <c r="B37" i="11" s="1"/>
  <c r="B27" i="11"/>
  <c r="B28" i="11" s="1"/>
  <c r="B29" i="11" s="1"/>
  <c r="B16" i="11"/>
  <c r="B17" i="11" s="1"/>
  <c r="B18" i="11" s="1"/>
  <c r="B7" i="11"/>
  <c r="B8" i="11" s="1"/>
  <c r="B9" i="11" s="1"/>
  <c r="R30" i="10"/>
  <c r="R29" i="10"/>
  <c r="R28" i="10"/>
  <c r="R19" i="10"/>
  <c r="R18" i="10"/>
  <c r="R17" i="10"/>
  <c r="L6" i="10"/>
  <c r="R6" i="10" s="1"/>
  <c r="AD6" i="10"/>
  <c r="X7" i="10"/>
  <c r="AD7" i="10" s="1"/>
  <c r="O29" i="10"/>
  <c r="O30" i="10" s="1"/>
  <c r="AA7" i="10"/>
  <c r="AA8" i="10" s="1"/>
  <c r="AA9" i="10" s="1"/>
  <c r="U7" i="10"/>
  <c r="O18" i="10"/>
  <c r="O19" i="10" s="1"/>
  <c r="O20" i="10" s="1"/>
  <c r="O7" i="10"/>
  <c r="O8" i="10" s="1"/>
  <c r="O9" i="10" s="1"/>
  <c r="I29" i="10"/>
  <c r="I30" i="10" s="1"/>
  <c r="I31" i="10" s="1"/>
  <c r="I18" i="10"/>
  <c r="I19" i="10" s="1"/>
  <c r="I20" i="10" s="1"/>
  <c r="I7" i="10"/>
  <c r="I8" i="10" s="1"/>
  <c r="I9" i="10" s="1"/>
  <c r="AA7" i="9"/>
  <c r="U7" i="9"/>
  <c r="I38" i="9"/>
  <c r="B27" i="9"/>
  <c r="I29" i="9" s="1"/>
  <c r="I30" i="9" s="1"/>
  <c r="B36" i="9"/>
  <c r="B37" i="9" s="1"/>
  <c r="B38" i="9" s="1"/>
  <c r="R19" i="9"/>
  <c r="R18" i="9"/>
  <c r="R17" i="9"/>
  <c r="O18" i="9"/>
  <c r="I18" i="9"/>
  <c r="T53" i="7"/>
  <c r="T54" i="7" s="1"/>
  <c r="T55" i="7" s="1"/>
  <c r="T45" i="7"/>
  <c r="T46" i="7" s="1"/>
  <c r="T47" i="7" s="1"/>
  <c r="B30" i="9" s="1"/>
  <c r="O7" i="9"/>
  <c r="O8" i="9" s="1"/>
  <c r="O9" i="9" s="1"/>
  <c r="I7" i="9"/>
  <c r="I8" i="9" s="1"/>
  <c r="I9" i="9" s="1"/>
  <c r="B16" i="9"/>
  <c r="B17" i="9" s="1"/>
  <c r="B18" i="9" s="1"/>
  <c r="B7" i="9"/>
  <c r="B8" i="9" s="1"/>
  <c r="B9" i="9" s="1"/>
  <c r="Z35" i="7"/>
  <c r="Z36" i="7" s="1"/>
  <c r="Z37" i="7" s="1"/>
  <c r="Z27" i="7"/>
  <c r="Z28" i="7" s="1"/>
  <c r="Z29" i="7" s="1"/>
  <c r="Z16" i="7"/>
  <c r="Z17" i="7" s="1"/>
  <c r="Z18" i="7" s="1"/>
  <c r="Z8" i="7"/>
  <c r="Z9" i="7" s="1"/>
  <c r="Z10" i="7" s="1"/>
  <c r="T35" i="7"/>
  <c r="T27" i="7"/>
  <c r="T16" i="7"/>
  <c r="T17" i="7" s="1"/>
  <c r="T18" i="7" s="1"/>
  <c r="T8" i="7"/>
  <c r="J6" i="7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F6" i="7"/>
  <c r="F5" i="7"/>
  <c r="C33" i="6"/>
  <c r="D33" i="6" s="1"/>
  <c r="E33" i="6" s="1"/>
  <c r="F33" i="6" s="1"/>
  <c r="C32" i="6"/>
  <c r="C31" i="6"/>
  <c r="C30" i="6"/>
  <c r="C27" i="6"/>
  <c r="C26" i="6"/>
  <c r="C25" i="6"/>
  <c r="C24" i="6"/>
  <c r="C15" i="6"/>
  <c r="C14" i="6"/>
  <c r="C7" i="6"/>
  <c r="F14" i="1"/>
  <c r="F6" i="6" s="1"/>
  <c r="C8" i="6"/>
  <c r="H16" i="1"/>
  <c r="G16" i="1"/>
  <c r="F16" i="1"/>
  <c r="H15" i="1"/>
  <c r="G15" i="1"/>
  <c r="F15" i="1"/>
  <c r="H14" i="1"/>
  <c r="G14" i="1"/>
  <c r="F19" i="1" s="1"/>
  <c r="C10" i="6"/>
  <c r="T28" i="7" l="1"/>
  <c r="B7" i="10"/>
  <c r="T36" i="7"/>
  <c r="B27" i="10"/>
  <c r="R39" i="11"/>
  <c r="R29" i="11"/>
  <c r="R17" i="11"/>
  <c r="R40" i="11"/>
  <c r="L41" i="11"/>
  <c r="R41" i="11" s="1"/>
  <c r="AA8" i="9"/>
  <c r="U8" i="9"/>
  <c r="I39" i="9"/>
  <c r="I31" i="9"/>
  <c r="O19" i="9"/>
  <c r="I19" i="9"/>
  <c r="T9" i="7"/>
  <c r="AG8" i="7"/>
  <c r="C7" i="7"/>
  <c r="O5" i="7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J20" i="7"/>
  <c r="J21" i="7" s="1"/>
  <c r="G6" i="7"/>
  <c r="F18" i="1"/>
  <c r="G10" i="4"/>
  <c r="G14" i="3"/>
  <c r="J4" i="1"/>
  <c r="G16" i="5"/>
  <c r="J5" i="1"/>
  <c r="D30" i="6"/>
  <c r="E23" i="6"/>
  <c r="E13" i="6"/>
  <c r="E30" i="6"/>
  <c r="D23" i="6"/>
  <c r="F13" i="6"/>
  <c r="F30" i="6"/>
  <c r="D13" i="6"/>
  <c r="F23" i="6"/>
  <c r="C6" i="6"/>
  <c r="H16" i="3"/>
  <c r="H18" i="5"/>
  <c r="H12" i="4"/>
  <c r="G16" i="3"/>
  <c r="G12" i="4"/>
  <c r="G18" i="5"/>
  <c r="F12" i="4"/>
  <c r="F18" i="5"/>
  <c r="F16" i="3"/>
  <c r="X8" i="10"/>
  <c r="AD8" i="10" s="1"/>
  <c r="L7" i="10"/>
  <c r="E7" i="7"/>
  <c r="B28" i="9"/>
  <c r="B29" i="9"/>
  <c r="L8" i="12"/>
  <c r="R8" i="12" s="1"/>
  <c r="R18" i="12"/>
  <c r="R18" i="11"/>
  <c r="R7" i="11"/>
  <c r="O31" i="10"/>
  <c r="U8" i="10"/>
  <c r="K5" i="7"/>
  <c r="L5" i="7"/>
  <c r="L6" i="7" s="1"/>
  <c r="L7" i="7" s="1"/>
  <c r="L8" i="7" s="1"/>
  <c r="L9" i="7" s="1"/>
  <c r="L10" i="7" s="1"/>
  <c r="L11" i="7" s="1"/>
  <c r="L12" i="7" s="1"/>
  <c r="L13" i="7" s="1"/>
  <c r="U34" i="7" s="1"/>
  <c r="G5" i="7"/>
  <c r="H5" i="7" s="1"/>
  <c r="D7" i="7"/>
  <c r="F7" i="7" s="1"/>
  <c r="F20" i="1"/>
  <c r="E6" i="6"/>
  <c r="D6" i="6"/>
  <c r="K6" i="7" l="1"/>
  <c r="T37" i="7"/>
  <c r="B29" i="10" s="1"/>
  <c r="B28" i="10"/>
  <c r="T29" i="7"/>
  <c r="B9" i="10" s="1"/>
  <c r="B8" i="10"/>
  <c r="U9" i="9"/>
  <c r="AA9" i="9"/>
  <c r="I40" i="9"/>
  <c r="I32" i="9"/>
  <c r="O20" i="9"/>
  <c r="I20" i="9"/>
  <c r="T10" i="7"/>
  <c r="AG10" i="7" s="1"/>
  <c r="AG9" i="7"/>
  <c r="H4" i="5"/>
  <c r="C23" i="6" s="1"/>
  <c r="J4" i="5"/>
  <c r="J6" i="4"/>
  <c r="H4" i="4"/>
  <c r="H6" i="4"/>
  <c r="L8" i="10"/>
  <c r="R8" i="10" s="1"/>
  <c r="R7" i="10"/>
  <c r="C26" i="10"/>
  <c r="U15" i="7"/>
  <c r="U9" i="10"/>
  <c r="L14" i="7"/>
  <c r="L15" i="7" s="1"/>
  <c r="L16" i="7" s="1"/>
  <c r="L17" i="7" s="1"/>
  <c r="L18" i="7" s="1"/>
  <c r="V15" i="7"/>
  <c r="G7" i="7"/>
  <c r="M5" i="7"/>
  <c r="M6" i="7" l="1"/>
  <c r="K7" i="7"/>
  <c r="C15" i="9"/>
  <c r="J17" i="9" s="1"/>
  <c r="P17" i="9" s="1"/>
  <c r="C13" i="6"/>
  <c r="D15" i="9"/>
  <c r="AB15" i="7"/>
  <c r="V34" i="7"/>
  <c r="L19" i="7"/>
  <c r="V16" i="7"/>
  <c r="M7" i="7"/>
  <c r="K8" i="7"/>
  <c r="L20" i="7" l="1"/>
  <c r="L21" i="7" s="1"/>
  <c r="D16" i="9"/>
  <c r="AB16" i="7"/>
  <c r="W15" i="7"/>
  <c r="AA15" i="7"/>
  <c r="AB34" i="7"/>
  <c r="D15" i="11"/>
  <c r="D26" i="10"/>
  <c r="V52" i="7"/>
  <c r="V35" i="7"/>
  <c r="K9" i="7"/>
  <c r="M8" i="7"/>
  <c r="Q5" i="7" l="1"/>
  <c r="Q6" i="7" s="1"/>
  <c r="Q7" i="7" s="1"/>
  <c r="Q8" i="7" s="1"/>
  <c r="X15" i="7"/>
  <c r="E15" i="9"/>
  <c r="AB35" i="7"/>
  <c r="AC15" i="7"/>
  <c r="D16" i="11"/>
  <c r="J17" i="11" s="1"/>
  <c r="C15" i="11"/>
  <c r="AA34" i="7"/>
  <c r="D24" i="12"/>
  <c r="D34" i="11"/>
  <c r="W34" i="7"/>
  <c r="V53" i="7"/>
  <c r="D27" i="10"/>
  <c r="D35" i="9"/>
  <c r="U52" i="7"/>
  <c r="K10" i="7"/>
  <c r="M9" i="7"/>
  <c r="Q9" i="7" l="1"/>
  <c r="Q10" i="7" s="1"/>
  <c r="Q11" i="7" s="1"/>
  <c r="Q12" i="7" s="1"/>
  <c r="Q13" i="7" s="1"/>
  <c r="Q14" i="7" s="1"/>
  <c r="Q15" i="7" s="1"/>
  <c r="Q16" i="7" s="1"/>
  <c r="Q17" i="7" s="1"/>
  <c r="Q18" i="7" s="1"/>
  <c r="V17" i="7"/>
  <c r="C24" i="12"/>
  <c r="C34" i="11"/>
  <c r="D25" i="12"/>
  <c r="AC34" i="7"/>
  <c r="D35" i="11"/>
  <c r="K17" i="11"/>
  <c r="P17" i="11"/>
  <c r="J39" i="11"/>
  <c r="P39" i="11" s="1"/>
  <c r="F15" i="9"/>
  <c r="U16" i="7"/>
  <c r="E15" i="11"/>
  <c r="AD15" i="7"/>
  <c r="X34" i="7"/>
  <c r="E26" i="10"/>
  <c r="J28" i="10" s="1"/>
  <c r="P28" i="10" s="1"/>
  <c r="C35" i="9"/>
  <c r="D36" i="9"/>
  <c r="W52" i="7"/>
  <c r="K11" i="7"/>
  <c r="M10" i="7"/>
  <c r="D17" i="9" l="1"/>
  <c r="V36" i="7"/>
  <c r="AB17" i="7"/>
  <c r="W16" i="7"/>
  <c r="V18" i="7"/>
  <c r="Q19" i="7"/>
  <c r="Q20" i="7" s="1"/>
  <c r="Q21" i="7" s="1"/>
  <c r="K17" i="9"/>
  <c r="M17" i="9" s="1"/>
  <c r="C16" i="9"/>
  <c r="J18" i="9" s="1"/>
  <c r="P18" i="9" s="1"/>
  <c r="F15" i="11"/>
  <c r="AA16" i="7"/>
  <c r="K39" i="11"/>
  <c r="M17" i="11"/>
  <c r="E24" i="12"/>
  <c r="AD34" i="7"/>
  <c r="E34" i="11"/>
  <c r="E35" i="9"/>
  <c r="X52" i="7"/>
  <c r="J37" i="9"/>
  <c r="U35" i="7"/>
  <c r="F26" i="10"/>
  <c r="M11" i="7"/>
  <c r="K12" i="7"/>
  <c r="K28" i="10" l="1"/>
  <c r="M28" i="10" s="1"/>
  <c r="D6" i="13" s="1"/>
  <c r="E16" i="9"/>
  <c r="AC16" i="7"/>
  <c r="AB36" i="7"/>
  <c r="D17" i="11"/>
  <c r="J18" i="11" s="1"/>
  <c r="W18" i="7"/>
  <c r="AB18" i="7"/>
  <c r="V37" i="7"/>
  <c r="W17" i="7"/>
  <c r="D18" i="9"/>
  <c r="V54" i="7"/>
  <c r="W35" i="7"/>
  <c r="D28" i="10"/>
  <c r="X16" i="7"/>
  <c r="M39" i="11"/>
  <c r="D7" i="13" s="1"/>
  <c r="C16" i="11"/>
  <c r="F34" i="11"/>
  <c r="F24" i="12"/>
  <c r="AA35" i="7"/>
  <c r="C27" i="10"/>
  <c r="F35" i="9"/>
  <c r="K37" i="9" s="1"/>
  <c r="U53" i="7"/>
  <c r="K13" i="7"/>
  <c r="M12" i="7"/>
  <c r="V7" i="7" l="1"/>
  <c r="U7" i="7"/>
  <c r="E27" i="10"/>
  <c r="J29" i="10" s="1"/>
  <c r="P29" i="10" s="1"/>
  <c r="E16" i="11"/>
  <c r="E18" i="9"/>
  <c r="AA7" i="7"/>
  <c r="C6" i="11" s="1"/>
  <c r="E17" i="9"/>
  <c r="X35" i="7"/>
  <c r="F27" i="10" s="1"/>
  <c r="K29" i="10" s="1"/>
  <c r="M29" i="10" s="1"/>
  <c r="G6" i="13" s="1"/>
  <c r="P18" i="11"/>
  <c r="J40" i="11"/>
  <c r="P40" i="11" s="1"/>
  <c r="K18" i="11"/>
  <c r="D29" i="10"/>
  <c r="W37" i="7"/>
  <c r="V55" i="7"/>
  <c r="W36" i="7"/>
  <c r="D26" i="12"/>
  <c r="AC35" i="7"/>
  <c r="D36" i="11"/>
  <c r="D37" i="9"/>
  <c r="W53" i="7"/>
  <c r="X53" i="7" s="1"/>
  <c r="AC18" i="7"/>
  <c r="AC17" i="7"/>
  <c r="D18" i="11"/>
  <c r="J19" i="11" s="1"/>
  <c r="AB37" i="7"/>
  <c r="F16" i="9"/>
  <c r="K18" i="9" s="1"/>
  <c r="M18" i="9" s="1"/>
  <c r="U17" i="7"/>
  <c r="AD16" i="7"/>
  <c r="C25" i="12"/>
  <c r="C35" i="11"/>
  <c r="M37" i="9"/>
  <c r="C36" i="9"/>
  <c r="J38" i="9" s="1"/>
  <c r="U26" i="7"/>
  <c r="K14" i="7"/>
  <c r="M13" i="7"/>
  <c r="D5" i="13" l="1"/>
  <c r="AD35" i="7"/>
  <c r="F35" i="11" s="1"/>
  <c r="U54" i="7"/>
  <c r="E36" i="9"/>
  <c r="U36" i="7"/>
  <c r="E28" i="10"/>
  <c r="J30" i="10" s="1"/>
  <c r="P30" i="10" s="1"/>
  <c r="E18" i="11"/>
  <c r="E29" i="10"/>
  <c r="C17" i="9"/>
  <c r="J19" i="9" s="1"/>
  <c r="P19" i="9" s="1"/>
  <c r="E17" i="11"/>
  <c r="J41" i="11"/>
  <c r="P41" i="11" s="1"/>
  <c r="P19" i="11"/>
  <c r="D38" i="9"/>
  <c r="W54" i="7"/>
  <c r="K19" i="11"/>
  <c r="K21" i="11" s="1"/>
  <c r="K40" i="11"/>
  <c r="M18" i="11"/>
  <c r="X17" i="7"/>
  <c r="E35" i="11"/>
  <c r="E25" i="12"/>
  <c r="F16" i="11"/>
  <c r="AA17" i="7"/>
  <c r="D37" i="11"/>
  <c r="D27" i="12"/>
  <c r="AC36" i="7"/>
  <c r="D6" i="9"/>
  <c r="C6" i="10"/>
  <c r="C6" i="9"/>
  <c r="F36" i="9"/>
  <c r="K38" i="9" s="1"/>
  <c r="X36" i="7"/>
  <c r="V26" i="7"/>
  <c r="M14" i="7"/>
  <c r="K15" i="7"/>
  <c r="AA36" i="7" l="1"/>
  <c r="AD36" i="7" s="1"/>
  <c r="F26" i="12" s="1"/>
  <c r="Q19" i="11"/>
  <c r="Q18" i="11"/>
  <c r="Q41" i="11"/>
  <c r="S41" i="11" s="1"/>
  <c r="Q40" i="11"/>
  <c r="S40" i="11" s="1"/>
  <c r="Q19" i="9"/>
  <c r="Q18" i="9"/>
  <c r="Q28" i="10"/>
  <c r="S28" i="10" s="1"/>
  <c r="D16" i="13" s="1"/>
  <c r="Q30" i="10"/>
  <c r="S30" i="10" s="1"/>
  <c r="J16" i="13" s="1"/>
  <c r="Q29" i="10"/>
  <c r="S29" i="10" s="1"/>
  <c r="Q17" i="9"/>
  <c r="U37" i="7"/>
  <c r="C29" i="10" s="1"/>
  <c r="X54" i="7"/>
  <c r="U55" i="7" s="1"/>
  <c r="C37" i="9"/>
  <c r="J39" i="9" s="1"/>
  <c r="C28" i="10"/>
  <c r="F17" i="9"/>
  <c r="F25" i="12"/>
  <c r="U18" i="7"/>
  <c r="M40" i="11"/>
  <c r="G7" i="13" s="1"/>
  <c r="AC37" i="7"/>
  <c r="E26" i="12"/>
  <c r="E36" i="11"/>
  <c r="M19" i="11"/>
  <c r="K41" i="11"/>
  <c r="M41" i="11" s="1"/>
  <c r="W55" i="7"/>
  <c r="E37" i="9"/>
  <c r="S18" i="11"/>
  <c r="S19" i="11"/>
  <c r="Q17" i="11"/>
  <c r="C17" i="11"/>
  <c r="AD17" i="7"/>
  <c r="Q39" i="11"/>
  <c r="J6" i="9"/>
  <c r="P6" i="9" s="1"/>
  <c r="V6" i="9" s="1"/>
  <c r="AB6" i="9" s="1"/>
  <c r="D6" i="10"/>
  <c r="V44" i="7"/>
  <c r="AB26" i="7"/>
  <c r="D6" i="11"/>
  <c r="M38" i="9"/>
  <c r="F28" i="10"/>
  <c r="K30" i="10" s="1"/>
  <c r="M30" i="10" s="1"/>
  <c r="M15" i="7"/>
  <c r="K16" i="7"/>
  <c r="G5" i="13" l="1"/>
  <c r="C36" i="11"/>
  <c r="C26" i="12"/>
  <c r="F36" i="11"/>
  <c r="G38" i="11" s="1"/>
  <c r="J7" i="13"/>
  <c r="M7" i="13" s="1"/>
  <c r="J6" i="13"/>
  <c r="M6" i="13" s="1"/>
  <c r="J17" i="13"/>
  <c r="G17" i="13"/>
  <c r="G16" i="13"/>
  <c r="M16" i="13" s="1"/>
  <c r="S32" i="10"/>
  <c r="S18" i="9"/>
  <c r="S17" i="9"/>
  <c r="S19" i="9"/>
  <c r="X37" i="7"/>
  <c r="U44" i="7"/>
  <c r="G28" i="12"/>
  <c r="AA37" i="7"/>
  <c r="AD37" i="7" s="1"/>
  <c r="F27" i="12" s="1"/>
  <c r="K19" i="9"/>
  <c r="M19" i="9" s="1"/>
  <c r="G19" i="9"/>
  <c r="F37" i="9"/>
  <c r="K39" i="9" s="1"/>
  <c r="E38" i="9"/>
  <c r="K43" i="11"/>
  <c r="C18" i="9"/>
  <c r="X18" i="7"/>
  <c r="F17" i="11"/>
  <c r="G19" i="11" s="1"/>
  <c r="AA18" i="7"/>
  <c r="M21" i="11"/>
  <c r="M43" i="11"/>
  <c r="Q21" i="11"/>
  <c r="S17" i="11"/>
  <c r="S39" i="11"/>
  <c r="Q43" i="11"/>
  <c r="E37" i="11"/>
  <c r="E27" i="12"/>
  <c r="D27" i="9"/>
  <c r="D26" i="11"/>
  <c r="AA26" i="7"/>
  <c r="D6" i="12"/>
  <c r="C38" i="9"/>
  <c r="X55" i="7"/>
  <c r="M32" i="10"/>
  <c r="K17" i="7"/>
  <c r="M16" i="7"/>
  <c r="F37" i="11" l="1"/>
  <c r="D15" i="13"/>
  <c r="D17" i="13"/>
  <c r="M17" i="13" s="1"/>
  <c r="J15" i="13"/>
  <c r="J20" i="13" s="1"/>
  <c r="G15" i="13"/>
  <c r="S21" i="9"/>
  <c r="M21" i="9"/>
  <c r="F38" i="9"/>
  <c r="AJ6" i="11"/>
  <c r="F18" i="9"/>
  <c r="M39" i="9"/>
  <c r="G39" i="9"/>
  <c r="C37" i="11"/>
  <c r="C27" i="12"/>
  <c r="F29" i="10"/>
  <c r="AU15" i="10"/>
  <c r="AJ5" i="11"/>
  <c r="S21" i="11"/>
  <c r="AD18" i="7"/>
  <c r="C18" i="11"/>
  <c r="S43" i="11"/>
  <c r="C26" i="11"/>
  <c r="C6" i="12"/>
  <c r="C27" i="9"/>
  <c r="K18" i="7"/>
  <c r="V8" i="7" s="1"/>
  <c r="M17" i="7"/>
  <c r="D20" i="13" l="1"/>
  <c r="J5" i="13"/>
  <c r="M5" i="13" s="1"/>
  <c r="G20" i="13"/>
  <c r="M15" i="13"/>
  <c r="M20" i="13" s="1"/>
  <c r="D9" i="13" s="1"/>
  <c r="AT15" i="9"/>
  <c r="M41" i="9"/>
  <c r="AU7" i="9" s="1"/>
  <c r="AT6" i="9"/>
  <c r="F18" i="11"/>
  <c r="W7" i="7"/>
  <c r="AJ16" i="11"/>
  <c r="J29" i="9"/>
  <c r="AU6" i="10"/>
  <c r="M18" i="7"/>
  <c r="K19" i="7"/>
  <c r="K20" i="7" s="1"/>
  <c r="D10" i="13" l="1"/>
  <c r="J9" i="13"/>
  <c r="G9" i="13"/>
  <c r="G10" i="13" s="1"/>
  <c r="M20" i="7"/>
  <c r="K21" i="7"/>
  <c r="AJ15" i="11"/>
  <c r="D7" i="9"/>
  <c r="AB8" i="7"/>
  <c r="V27" i="7"/>
  <c r="M19" i="7"/>
  <c r="J10" i="13" l="1"/>
  <c r="M9" i="13"/>
  <c r="M10" i="13" s="1"/>
  <c r="P5" i="7"/>
  <c r="R5" i="7" s="1"/>
  <c r="M21" i="7"/>
  <c r="V45" i="7"/>
  <c r="W26" i="7"/>
  <c r="D7" i="10"/>
  <c r="D7" i="11"/>
  <c r="AC7" i="7"/>
  <c r="AB27" i="7"/>
  <c r="X7" i="7"/>
  <c r="U8" i="7" s="1"/>
  <c r="E6" i="9"/>
  <c r="P6" i="7" l="1"/>
  <c r="R6" i="7" s="1"/>
  <c r="E6" i="10"/>
  <c r="J17" i="10" s="1"/>
  <c r="X26" i="7"/>
  <c r="F6" i="9"/>
  <c r="D28" i="9"/>
  <c r="W44" i="7"/>
  <c r="D7" i="12"/>
  <c r="D27" i="11"/>
  <c r="AC26" i="7"/>
  <c r="E6" i="11"/>
  <c r="J6" i="11" s="1"/>
  <c r="AD7" i="7"/>
  <c r="P7" i="7"/>
  <c r="K6" i="9" l="1"/>
  <c r="M6" i="9" s="1"/>
  <c r="F6" i="11"/>
  <c r="AA8" i="7"/>
  <c r="E27" i="9"/>
  <c r="X44" i="7"/>
  <c r="F6" i="10"/>
  <c r="K6" i="10" s="1"/>
  <c r="U27" i="7"/>
  <c r="C7" i="9"/>
  <c r="W6" i="9"/>
  <c r="Y6" i="9" s="1"/>
  <c r="P6" i="11"/>
  <c r="K6" i="11"/>
  <c r="J28" i="11"/>
  <c r="P28" i="11" s="1"/>
  <c r="AD26" i="7"/>
  <c r="E6" i="12"/>
  <c r="E26" i="11"/>
  <c r="J6" i="10"/>
  <c r="P6" i="10" s="1"/>
  <c r="V6" i="10" s="1"/>
  <c r="AB6" i="10" s="1"/>
  <c r="P17" i="10"/>
  <c r="P8" i="7"/>
  <c r="R7" i="7"/>
  <c r="W6" i="10" l="1"/>
  <c r="Y6" i="10" s="1"/>
  <c r="K17" i="10"/>
  <c r="M17" i="10" s="1"/>
  <c r="C7" i="10"/>
  <c r="C7" i="11"/>
  <c r="M6" i="11"/>
  <c r="K28" i="11"/>
  <c r="F27" i="9"/>
  <c r="K29" i="9" s="1"/>
  <c r="U45" i="7"/>
  <c r="J17" i="12"/>
  <c r="K17" i="12" s="1"/>
  <c r="P6" i="12"/>
  <c r="F26" i="11"/>
  <c r="F6" i="12"/>
  <c r="K6" i="12" s="1"/>
  <c r="AA27" i="7"/>
  <c r="M6" i="10"/>
  <c r="V9" i="7"/>
  <c r="R8" i="7"/>
  <c r="P9" i="7"/>
  <c r="C6" i="13" l="1"/>
  <c r="C28" i="9"/>
  <c r="J30" i="9" s="1"/>
  <c r="C7" i="12"/>
  <c r="C27" i="11"/>
  <c r="M28" i="11"/>
  <c r="M29" i="9"/>
  <c r="P17" i="12"/>
  <c r="AB9" i="7"/>
  <c r="W8" i="7"/>
  <c r="D8" i="9"/>
  <c r="V28" i="7"/>
  <c r="R9" i="7"/>
  <c r="P10" i="7"/>
  <c r="C7" i="13" l="1"/>
  <c r="C5" i="13"/>
  <c r="D8" i="10"/>
  <c r="V46" i="7"/>
  <c r="W27" i="7"/>
  <c r="E7" i="9"/>
  <c r="X8" i="7"/>
  <c r="AB28" i="7"/>
  <c r="AC8" i="7"/>
  <c r="D8" i="11"/>
  <c r="M6" i="12"/>
  <c r="M17" i="12"/>
  <c r="R10" i="7"/>
  <c r="P11" i="7"/>
  <c r="E6" i="13" l="1"/>
  <c r="C26" i="13" s="1"/>
  <c r="C8" i="13"/>
  <c r="E7" i="13"/>
  <c r="C27" i="13" s="1"/>
  <c r="E7" i="10"/>
  <c r="X27" i="7"/>
  <c r="D29" i="9"/>
  <c r="W45" i="7"/>
  <c r="E7" i="11"/>
  <c r="J7" i="11" s="1"/>
  <c r="AD8" i="7"/>
  <c r="F7" i="9"/>
  <c r="U9" i="7"/>
  <c r="D28" i="11"/>
  <c r="AC27" i="7"/>
  <c r="D8" i="12"/>
  <c r="J7" i="9"/>
  <c r="P7" i="9" s="1"/>
  <c r="V7" i="9" s="1"/>
  <c r="AB7" i="9" s="1"/>
  <c r="P12" i="7"/>
  <c r="R11" i="7"/>
  <c r="E5" i="13" l="1"/>
  <c r="C25" i="13" s="1"/>
  <c r="C8" i="9"/>
  <c r="K7" i="9"/>
  <c r="M7" i="9" s="1"/>
  <c r="J7" i="10"/>
  <c r="P7" i="10" s="1"/>
  <c r="V7" i="10" s="1"/>
  <c r="AB7" i="10" s="1"/>
  <c r="J18" i="10"/>
  <c r="P18" i="10" s="1"/>
  <c r="K7" i="11"/>
  <c r="J29" i="11"/>
  <c r="P29" i="11" s="1"/>
  <c r="P7" i="11"/>
  <c r="F7" i="11"/>
  <c r="AA9" i="7"/>
  <c r="E27" i="11"/>
  <c r="AD27" i="7"/>
  <c r="E7" i="12"/>
  <c r="J7" i="12" s="1"/>
  <c r="E28" i="9"/>
  <c r="X45" i="7"/>
  <c r="F7" i="10"/>
  <c r="K7" i="10" s="1"/>
  <c r="U28" i="7"/>
  <c r="P13" i="7"/>
  <c r="R12" i="7"/>
  <c r="E8" i="13" l="1"/>
  <c r="C28" i="13" s="1"/>
  <c r="W7" i="9"/>
  <c r="Y7" i="9" s="1"/>
  <c r="C8" i="10"/>
  <c r="P7" i="12"/>
  <c r="J18" i="12"/>
  <c r="U46" i="7"/>
  <c r="F28" i="9"/>
  <c r="K30" i="9" s="1"/>
  <c r="F27" i="11"/>
  <c r="F7" i="12"/>
  <c r="AA28" i="7"/>
  <c r="C8" i="11"/>
  <c r="K29" i="11"/>
  <c r="M7" i="11"/>
  <c r="R13" i="7"/>
  <c r="P14" i="7"/>
  <c r="M29" i="11" l="1"/>
  <c r="K7" i="12"/>
  <c r="M30" i="9"/>
  <c r="P18" i="12"/>
  <c r="K18" i="12"/>
  <c r="C29" i="9"/>
  <c r="J31" i="9" s="1"/>
  <c r="C28" i="11"/>
  <c r="C8" i="12"/>
  <c r="W7" i="10"/>
  <c r="K18" i="10"/>
  <c r="M18" i="10" s="1"/>
  <c r="M7" i="10"/>
  <c r="R14" i="7"/>
  <c r="P15" i="7"/>
  <c r="F7" i="13" l="1"/>
  <c r="F5" i="13"/>
  <c r="H5" i="13" s="1"/>
  <c r="M18" i="12"/>
  <c r="M7" i="12"/>
  <c r="Y7" i="10"/>
  <c r="P16" i="7"/>
  <c r="R15" i="7"/>
  <c r="H7" i="13" l="1"/>
  <c r="D27" i="13" s="1"/>
  <c r="F8" i="13"/>
  <c r="F6" i="13"/>
  <c r="D25" i="13"/>
  <c r="P17" i="7"/>
  <c r="R16" i="7"/>
  <c r="H6" i="13" l="1"/>
  <c r="D26" i="13" s="1"/>
  <c r="R17" i="7"/>
  <c r="P18" i="7"/>
  <c r="H8" i="13" l="1"/>
  <c r="D28" i="13" s="1"/>
  <c r="P19" i="7"/>
  <c r="R19" i="7" s="1"/>
  <c r="V10" i="7"/>
  <c r="R18" i="7"/>
  <c r="P20" i="7" l="1"/>
  <c r="P21" i="7" s="1"/>
  <c r="R21" i="7" s="1"/>
  <c r="R20" i="7"/>
  <c r="W9" i="7"/>
  <c r="D9" i="9"/>
  <c r="AB10" i="7"/>
  <c r="W10" i="7"/>
  <c r="V29" i="7"/>
  <c r="E9" i="9" l="1"/>
  <c r="X9" i="7"/>
  <c r="E8" i="9"/>
  <c r="V47" i="7"/>
  <c r="W28" i="7"/>
  <c r="D9" i="10"/>
  <c r="W29" i="7"/>
  <c r="D9" i="11"/>
  <c r="AC9" i="7"/>
  <c r="AC10" i="7"/>
  <c r="AB29" i="7"/>
  <c r="U10" i="7"/>
  <c r="F8" i="9" l="1"/>
  <c r="K8" i="9" s="1"/>
  <c r="M8" i="9" s="1"/>
  <c r="C9" i="9"/>
  <c r="J8" i="9"/>
  <c r="P8" i="9" s="1"/>
  <c r="Q6" i="9" s="1"/>
  <c r="E8" i="11"/>
  <c r="J8" i="11" s="1"/>
  <c r="AD9" i="7"/>
  <c r="E8" i="10"/>
  <c r="X28" i="7"/>
  <c r="D30" i="9"/>
  <c r="W46" i="7"/>
  <c r="E9" i="11"/>
  <c r="X10" i="7"/>
  <c r="D29" i="11"/>
  <c r="D9" i="12"/>
  <c r="AC28" i="7"/>
  <c r="E9" i="10"/>
  <c r="Q8" i="9" l="1"/>
  <c r="S8" i="9" s="1"/>
  <c r="Q7" i="9"/>
  <c r="S7" i="9" s="1"/>
  <c r="G10" i="9"/>
  <c r="F9" i="9"/>
  <c r="W8" i="9"/>
  <c r="Y8" i="9" s="1"/>
  <c r="V8" i="9"/>
  <c r="AB8" i="9" s="1"/>
  <c r="S6" i="9"/>
  <c r="W47" i="7"/>
  <c r="E29" i="9"/>
  <c r="X46" i="7"/>
  <c r="M10" i="9"/>
  <c r="E8" i="12"/>
  <c r="J8" i="12" s="1"/>
  <c r="AC29" i="7"/>
  <c r="E28" i="11"/>
  <c r="AD28" i="7"/>
  <c r="F8" i="11"/>
  <c r="G10" i="11" s="1"/>
  <c r="AA10" i="7"/>
  <c r="P8" i="11"/>
  <c r="J30" i="11"/>
  <c r="P30" i="11" s="1"/>
  <c r="K8" i="11"/>
  <c r="F8" i="10"/>
  <c r="U29" i="7"/>
  <c r="J8" i="10"/>
  <c r="P8" i="10" s="1"/>
  <c r="J19" i="10"/>
  <c r="P19" i="10" s="1"/>
  <c r="Y10" i="9" l="1"/>
  <c r="AT8" i="9" s="1"/>
  <c r="Q19" i="10"/>
  <c r="Q18" i="10"/>
  <c r="AC8" i="9"/>
  <c r="AC7" i="9"/>
  <c r="Q8" i="10"/>
  <c r="Q7" i="10"/>
  <c r="Q30" i="11"/>
  <c r="Q29" i="11"/>
  <c r="S29" i="11" s="1"/>
  <c r="Q8" i="11"/>
  <c r="S8" i="11" s="1"/>
  <c r="Q7" i="11"/>
  <c r="S7" i="11" s="1"/>
  <c r="Q6" i="10"/>
  <c r="S6" i="10" s="1"/>
  <c r="V8" i="10"/>
  <c r="AB8" i="10" s="1"/>
  <c r="S19" i="10"/>
  <c r="S18" i="10"/>
  <c r="Q17" i="10"/>
  <c r="S17" i="10" s="1"/>
  <c r="K30" i="11"/>
  <c r="M8" i="11"/>
  <c r="K10" i="11"/>
  <c r="S30" i="11"/>
  <c r="Q28" i="11"/>
  <c r="E9" i="12"/>
  <c r="E29" i="11"/>
  <c r="F29" i="9"/>
  <c r="K31" i="9" s="1"/>
  <c r="U47" i="7"/>
  <c r="S10" i="9"/>
  <c r="C9" i="10"/>
  <c r="X29" i="7"/>
  <c r="Q6" i="11"/>
  <c r="P8" i="12"/>
  <c r="Q6" i="12" s="1"/>
  <c r="J19" i="12"/>
  <c r="AC6" i="9"/>
  <c r="K8" i="10"/>
  <c r="G10" i="10"/>
  <c r="C9" i="11"/>
  <c r="AD10" i="7"/>
  <c r="F8" i="12"/>
  <c r="F28" i="11"/>
  <c r="G30" i="11" s="1"/>
  <c r="AA29" i="7"/>
  <c r="E30" i="9"/>
  <c r="AC8" i="10" l="1"/>
  <c r="AC7" i="10"/>
  <c r="Q8" i="12"/>
  <c r="S8" i="12" s="1"/>
  <c r="Q7" i="12"/>
  <c r="S7" i="12" s="1"/>
  <c r="I17" i="13"/>
  <c r="F17" i="13"/>
  <c r="AE6" i="9"/>
  <c r="AE8" i="9"/>
  <c r="AE7" i="9"/>
  <c r="F9" i="11"/>
  <c r="AD29" i="7"/>
  <c r="F29" i="11" s="1"/>
  <c r="F9" i="10"/>
  <c r="C30" i="9"/>
  <c r="AC6" i="10"/>
  <c r="X47" i="7"/>
  <c r="S8" i="10"/>
  <c r="M30" i="11"/>
  <c r="I7" i="13" s="1"/>
  <c r="L7" i="13" s="1"/>
  <c r="K32" i="11"/>
  <c r="C29" i="11"/>
  <c r="C9" i="12"/>
  <c r="S6" i="11"/>
  <c r="Q10" i="11"/>
  <c r="AT5" i="9"/>
  <c r="S7" i="10"/>
  <c r="S21" i="10"/>
  <c r="K8" i="12"/>
  <c r="G10" i="12"/>
  <c r="W8" i="10"/>
  <c r="W10" i="10" s="1"/>
  <c r="K19" i="10"/>
  <c r="M19" i="10" s="1"/>
  <c r="M8" i="10"/>
  <c r="P19" i="12"/>
  <c r="K19" i="12"/>
  <c r="M31" i="9"/>
  <c r="G31" i="9"/>
  <c r="Q32" i="11"/>
  <c r="S28" i="11"/>
  <c r="M10" i="11"/>
  <c r="F9" i="12" l="1"/>
  <c r="Q19" i="12"/>
  <c r="S19" i="12" s="1"/>
  <c r="Q18" i="12"/>
  <c r="S18" i="12" s="1"/>
  <c r="C15" i="13"/>
  <c r="I5" i="13"/>
  <c r="C17" i="13"/>
  <c r="L17" i="13" s="1"/>
  <c r="I15" i="13"/>
  <c r="F15" i="13"/>
  <c r="AE10" i="9"/>
  <c r="F30" i="9"/>
  <c r="S10" i="10"/>
  <c r="M21" i="10"/>
  <c r="AT14" i="9"/>
  <c r="S10" i="11"/>
  <c r="M33" i="9"/>
  <c r="M19" i="12"/>
  <c r="K21" i="12"/>
  <c r="Y8" i="10"/>
  <c r="M32" i="11"/>
  <c r="Q10" i="12"/>
  <c r="S6" i="12"/>
  <c r="S32" i="11"/>
  <c r="Q17" i="12"/>
  <c r="M10" i="10"/>
  <c r="M8" i="12"/>
  <c r="K10" i="12"/>
  <c r="AT15" i="10"/>
  <c r="Y14" i="9" l="1"/>
  <c r="I8" i="13"/>
  <c r="L8" i="13" s="1"/>
  <c r="L5" i="13"/>
  <c r="K5" i="13"/>
  <c r="I6" i="13"/>
  <c r="L6" i="13" s="1"/>
  <c r="I18" i="13"/>
  <c r="F18" i="13"/>
  <c r="K17" i="13"/>
  <c r="H27" i="13" s="1"/>
  <c r="H17" i="13"/>
  <c r="L15" i="13"/>
  <c r="M10" i="12"/>
  <c r="Y10" i="10"/>
  <c r="S17" i="12"/>
  <c r="Q21" i="12"/>
  <c r="AT5" i="10"/>
  <c r="S10" i="12"/>
  <c r="M21" i="12"/>
  <c r="AI5" i="11"/>
  <c r="AI6" i="11"/>
  <c r="AE6" i="10"/>
  <c r="AE8" i="10"/>
  <c r="AE7" i="10"/>
  <c r="AT6" i="10"/>
  <c r="K7" i="13" l="1"/>
  <c r="E17" i="13"/>
  <c r="F27" i="13" s="1"/>
  <c r="I27" i="13" s="1"/>
  <c r="E15" i="13"/>
  <c r="F25" i="13" s="1"/>
  <c r="I25" i="13" s="1"/>
  <c r="C18" i="13"/>
  <c r="L18" i="13" s="1"/>
  <c r="K6" i="13"/>
  <c r="C16" i="13"/>
  <c r="E25" i="13"/>
  <c r="N5" i="13"/>
  <c r="K18" i="13"/>
  <c r="H28" i="13" s="1"/>
  <c r="H18" i="13"/>
  <c r="G27" i="13"/>
  <c r="J27" i="13" s="1"/>
  <c r="I16" i="13"/>
  <c r="I20" i="13" s="1"/>
  <c r="F16" i="13"/>
  <c r="K15" i="13"/>
  <c r="H15" i="13"/>
  <c r="AI16" i="11"/>
  <c r="AT17" i="9"/>
  <c r="AT7" i="9"/>
  <c r="AI15" i="11"/>
  <c r="S21" i="12"/>
  <c r="AT14" i="10"/>
  <c r="AE10" i="10"/>
  <c r="N17" i="13" l="1"/>
  <c r="C20" i="13"/>
  <c r="E26" i="13"/>
  <c r="N6" i="13"/>
  <c r="N7" i="13"/>
  <c r="E27" i="13"/>
  <c r="K27" i="13" s="1"/>
  <c r="L27" i="13" s="1"/>
  <c r="E18" i="13"/>
  <c r="F28" i="13" s="1"/>
  <c r="I28" i="13" s="1"/>
  <c r="K8" i="13"/>
  <c r="G28" i="13"/>
  <c r="J28" i="13" s="1"/>
  <c r="L16" i="13"/>
  <c r="L20" i="13" s="1"/>
  <c r="F20" i="13"/>
  <c r="H25" i="13"/>
  <c r="K25" i="13" s="1"/>
  <c r="N15" i="13"/>
  <c r="G25" i="13"/>
  <c r="J25" i="13" s="1"/>
  <c r="Y15" i="9"/>
  <c r="AT7" i="10"/>
  <c r="AI5" i="12"/>
  <c r="AI6" i="12"/>
  <c r="AI15" i="12"/>
  <c r="AI14" i="12"/>
  <c r="C9" i="13" l="1"/>
  <c r="I9" i="13"/>
  <c r="F9" i="13"/>
  <c r="L25" i="13"/>
  <c r="E28" i="13"/>
  <c r="K28" i="13" s="1"/>
  <c r="L28" i="13" s="1"/>
  <c r="N8" i="13"/>
  <c r="E16" i="13"/>
  <c r="N18" i="13"/>
  <c r="K16" i="13"/>
  <c r="H16" i="13"/>
  <c r="O15" i="13"/>
  <c r="AT16" i="10"/>
  <c r="O17" i="13"/>
  <c r="O5" i="13"/>
  <c r="AT9" i="10"/>
  <c r="E20" i="13" l="1"/>
  <c r="F30" i="13" s="1"/>
  <c r="F26" i="13"/>
  <c r="I26" i="13" s="1"/>
  <c r="H26" i="13"/>
  <c r="K26" i="13" s="1"/>
  <c r="K20" i="13"/>
  <c r="H30" i="13" s="1"/>
  <c r="L9" i="13"/>
  <c r="L10" i="13" s="1"/>
  <c r="K9" i="13"/>
  <c r="I10" i="13"/>
  <c r="E9" i="13"/>
  <c r="C10" i="13"/>
  <c r="F10" i="13"/>
  <c r="H9" i="13"/>
  <c r="G26" i="13"/>
  <c r="J26" i="13" s="1"/>
  <c r="N16" i="13"/>
  <c r="N20" i="13" s="1"/>
  <c r="H20" i="13"/>
  <c r="G30" i="13" s="1"/>
  <c r="O6" i="13"/>
  <c r="O16" i="13" l="1"/>
  <c r="L26" i="13"/>
  <c r="E10" i="13"/>
  <c r="C30" i="13" s="1"/>
  <c r="I30" i="13" s="1"/>
  <c r="C29" i="13"/>
  <c r="I29" i="13" s="1"/>
  <c r="H10" i="13"/>
  <c r="D30" i="13" s="1"/>
  <c r="J30" i="13" s="1"/>
  <c r="D29" i="13"/>
  <c r="J29" i="13" s="1"/>
  <c r="K10" i="13"/>
  <c r="E30" i="13" s="1"/>
  <c r="K30" i="13" s="1"/>
  <c r="E29" i="13"/>
  <c r="K29" i="13" s="1"/>
  <c r="N9" i="13"/>
  <c r="N10" i="13" s="1"/>
  <c r="L30" i="13" l="1"/>
  <c r="L29" i="13"/>
</calcChain>
</file>

<file path=xl/sharedStrings.xml><?xml version="1.0" encoding="utf-8"?>
<sst xmlns="http://schemas.openxmlformats.org/spreadsheetml/2006/main" count="1495" uniqueCount="251">
  <si>
    <t>Nº</t>
  </si>
  <si>
    <t>Dados Gerais</t>
  </si>
  <si>
    <t>Ano-Base</t>
  </si>
  <si>
    <t>Urbano</t>
  </si>
  <si>
    <t>Rural</t>
  </si>
  <si>
    <t>Total</t>
  </si>
  <si>
    <t>Área (km2)</t>
  </si>
  <si>
    <t>Densidade demográfica (hab/km2)</t>
  </si>
  <si>
    <t>População residente (hab)</t>
  </si>
  <si>
    <t>Taxa de ocupação domiciliar (hab/domicílio)</t>
  </si>
  <si>
    <t>Quantidade total de domicílios</t>
  </si>
  <si>
    <t>Índice de desenvolvimento humano municipal (IDHM)</t>
  </si>
  <si>
    <t>Taxa de mortalidade infantil por mil nascidos vivos</t>
  </si>
  <si>
    <t>-</t>
  </si>
  <si>
    <t>Internações por diarreia por mil habitantes</t>
  </si>
  <si>
    <t>Mesorregião da Unidade da Federação a que pertence o município</t>
  </si>
  <si>
    <t>Sul Goiano</t>
  </si>
  <si>
    <t>Microrregião da Unidade da Federação a que pertence o município</t>
  </si>
  <si>
    <t>Meia Ponte</t>
  </si>
  <si>
    <t>Bacia(s) hidrográfica(s) a que pertence o município</t>
  </si>
  <si>
    <t>Coordenadas geográficas</t>
  </si>
  <si>
    <r>
      <t>17</t>
    </r>
    <r>
      <rPr>
        <vertAlign val="superscript"/>
        <sz val="12"/>
        <color theme="1"/>
        <rFont val="Times New Roman"/>
        <family val="1"/>
      </rPr>
      <t>o</t>
    </r>
    <r>
      <rPr>
        <sz val="12"/>
        <color theme="1"/>
        <rFont val="Times New Roman"/>
        <family val="1"/>
      </rPr>
      <t xml:space="preserve"> 17’ 15” S - 49</t>
    </r>
    <r>
      <rPr>
        <vertAlign val="superscript"/>
        <sz val="12"/>
        <color theme="1"/>
        <rFont val="Times New Roman"/>
        <family val="1"/>
      </rPr>
      <t>o</t>
    </r>
    <r>
      <rPr>
        <sz val="12"/>
        <color theme="1"/>
        <rFont val="Times New Roman"/>
        <family val="1"/>
      </rPr>
      <t xml:space="preserve"> 22’ 55” W - GPS NAVEGAÇÃO</t>
    </r>
  </si>
  <si>
    <t>Dados Principais</t>
  </si>
  <si>
    <t>Total / Média</t>
  </si>
  <si>
    <t>Índice de atendimento com os serviços (%)</t>
  </si>
  <si>
    <t>Abastecimento de água por rede de distribuição</t>
  </si>
  <si>
    <t>Abastecimento de água por poço ou nascente</t>
  </si>
  <si>
    <t>Índice de intermitência no abastecimento de água (%)</t>
  </si>
  <si>
    <t>Qualidade da água</t>
  </si>
  <si>
    <t>É tratada? (Sim ou não)</t>
  </si>
  <si>
    <t>Sim</t>
  </si>
  <si>
    <t>É clorada? (sim ou não)</t>
  </si>
  <si>
    <t>sim</t>
  </si>
  <si>
    <t>É fluoretada? (sim ou não)</t>
  </si>
  <si>
    <t>Tipo de atendimento da portaria sobre qualidade da água (não; parcial; ou integral)</t>
  </si>
  <si>
    <t>parcial</t>
  </si>
  <si>
    <t>Índice de perdas de água na distribuição (%)</t>
  </si>
  <si>
    <t>Tarifa média de água (R$/m3)</t>
  </si>
  <si>
    <t>Coleta de esgotos por rede coletora</t>
  </si>
  <si>
    <t>Tratamento dos esgotos coletados</t>
  </si>
  <si>
    <t>Fossas sépticas</t>
  </si>
  <si>
    <t>Tarifa média de esgoto (R$/m3)</t>
  </si>
  <si>
    <t>N</t>
  </si>
  <si>
    <t>Coleta de resíduos sólidos</t>
  </si>
  <si>
    <t>Coleta seletiva de resíduos sólidos</t>
  </si>
  <si>
    <t>Custo unitário médio dos serviços de coleta de resíduos sólidos (R$/m3)</t>
  </si>
  <si>
    <t>Ocorrência de cobrança pelos serviços (sim ou não)</t>
  </si>
  <si>
    <t>Não</t>
  </si>
  <si>
    <t>Forma adotada na cobrança (taxa específica no boleto do IPTU; taxa em boleto exclusivo; tarifa; taxa específica no boleto de água ou outra forma)</t>
  </si>
  <si>
    <t>Receita arrecadada per capita com taxas ou outras formas de cobrança pela prestação de serviços de manejo RSU (R$/hab.ano)</t>
  </si>
  <si>
    <r>
      <t>Índice de tratamento dos resíduos sólidos</t>
    </r>
    <r>
      <rPr>
        <strike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(%)</t>
    </r>
  </si>
  <si>
    <t>Lixão</t>
  </si>
  <si>
    <t>Aterro controlado</t>
  </si>
  <si>
    <t>Aterro sanitário</t>
  </si>
  <si>
    <t>Quantidade total de domicílios atendidos</t>
  </si>
  <si>
    <t>Microdrenagem (sarjeta e/ou rede)</t>
  </si>
  <si>
    <t>Macrodrenagem</t>
  </si>
  <si>
    <t>Quantidade de domicílios residenciais atendidos</t>
  </si>
  <si>
    <t>Quantidade de áreas em que ocorreram inundações e/ou enxurradas</t>
  </si>
  <si>
    <t>Taxa ou Tarifa média (R$/m3)</t>
  </si>
  <si>
    <t>Indicador</t>
  </si>
  <si>
    <t>Valor do Ano-Base</t>
  </si>
  <si>
    <t>(Ano: 2018)</t>
  </si>
  <si>
    <t>Meta de curto prazo (5 anos após a aprovação do Plano)</t>
  </si>
  <si>
    <t>(Ano: 2023)</t>
  </si>
  <si>
    <t>Meta de médio prazo (10 anos após a aprovação do Plano)</t>
  </si>
  <si>
    <t>(Ano: 2028)</t>
  </si>
  <si>
    <t>Meta de longo prazo (20 anos após a aprovação do Plano)</t>
  </si>
  <si>
    <t>(Ano: 2038)</t>
  </si>
  <si>
    <t>ABASTECIMENTO DE ÁGUA</t>
  </si>
  <si>
    <r>
      <t xml:space="preserve">A1. </t>
    </r>
    <r>
      <rPr>
        <sz val="12"/>
        <color theme="1"/>
        <rFont val="Calibri"/>
        <family val="2"/>
      </rPr>
      <t>% de domicílios urbanos e rurais abastecidos por rede de distribuição e por poço ou nascente com canalização interna</t>
    </r>
  </si>
  <si>
    <r>
      <t xml:space="preserve">A2. </t>
    </r>
    <r>
      <rPr>
        <sz val="12"/>
        <color theme="1"/>
        <rFont val="Calibri"/>
        <family val="2"/>
      </rPr>
      <t>% de domicílios urbanos abastecidos por rede de distribuição e por poço ou nascente com canalização interna</t>
    </r>
  </si>
  <si>
    <r>
      <t>A3.</t>
    </r>
    <r>
      <rPr>
        <sz val="12"/>
        <color theme="1"/>
        <rFont val="Calibri"/>
        <family val="2"/>
      </rPr>
      <t xml:space="preserve"> % de domicílios rurais abastecidos por rede de distribuição e por poço ou nascente com canalização interna</t>
    </r>
  </si>
  <si>
    <r>
      <t xml:space="preserve">A4. </t>
    </r>
    <r>
      <rPr>
        <sz val="12"/>
        <color theme="1"/>
        <rFont val="Calibri"/>
        <family val="2"/>
      </rPr>
      <t>% de economias ativas atingidas por paralisações e interrupções sistemáticas no abastecimento de água</t>
    </r>
  </si>
  <si>
    <r>
      <t xml:space="preserve">A5. </t>
    </r>
    <r>
      <rPr>
        <sz val="12"/>
        <color theme="1"/>
        <rFont val="Calibri"/>
        <family val="2"/>
      </rPr>
      <t>% do índice de perdas de água na distribuição</t>
    </r>
  </si>
  <si>
    <t>ESGOTAMENTO SANITÁRIO</t>
  </si>
  <si>
    <r>
      <t xml:space="preserve">E1. </t>
    </r>
    <r>
      <rPr>
        <sz val="12"/>
        <color theme="1"/>
        <rFont val="Calibri"/>
        <family val="2"/>
      </rPr>
      <t>% de domicílios urbanos e rurais servidos por rede coletora ou fossa séptica para os excretas ou esgotos sanitários</t>
    </r>
  </si>
  <si>
    <r>
      <t xml:space="preserve">E2. </t>
    </r>
    <r>
      <rPr>
        <sz val="12"/>
        <color theme="1"/>
        <rFont val="Calibri"/>
        <family val="2"/>
      </rPr>
      <t>% de domicílios urbanos servidos por rede coletora ou fossa séptica para os excretas ou esgotos sanitários</t>
    </r>
  </si>
  <si>
    <r>
      <t xml:space="preserve">E3. </t>
    </r>
    <r>
      <rPr>
        <sz val="12"/>
        <color theme="1"/>
        <rFont val="Calibri"/>
        <family val="2"/>
      </rPr>
      <t>% de domicílios rurais servidos por rede coletora ou fossa séptica para os excretas ou esgotos sanitários</t>
    </r>
  </si>
  <si>
    <r>
      <t>E4.</t>
    </r>
    <r>
      <rPr>
        <sz val="12"/>
        <color theme="1"/>
        <rFont val="Calibri"/>
        <family val="2"/>
      </rPr>
      <t xml:space="preserve"> % de tratamento de esgoto coletado</t>
    </r>
  </si>
  <si>
    <r>
      <t xml:space="preserve">E5. </t>
    </r>
    <r>
      <rPr>
        <sz val="12"/>
        <color theme="1"/>
        <rFont val="Calibri"/>
        <family val="2"/>
      </rPr>
      <t>% de domicílios urbanos e rurais com renda até três salários mínimos mensais que possuem unidades hidrossanitárias</t>
    </r>
  </si>
  <si>
    <t>LIMPEZA PÚBLICA E MANEJO DE RESÍDUOS SÓLIDOS</t>
  </si>
  <si>
    <r>
      <t xml:space="preserve">R1. </t>
    </r>
    <r>
      <rPr>
        <sz val="12"/>
        <color theme="1"/>
        <rFont val="Calibri"/>
        <family val="2"/>
      </rPr>
      <t>% de domicílios urbanos e rurais atendidos por coleta direta e indireta de resíduos sólidos</t>
    </r>
  </si>
  <si>
    <r>
      <t xml:space="preserve">R2. </t>
    </r>
    <r>
      <rPr>
        <sz val="12"/>
        <color theme="1"/>
        <rFont val="Calibri"/>
        <family val="2"/>
      </rPr>
      <t>% de domicílios urbanos atendidos por coleta direta e indireta de resíduos sólidos</t>
    </r>
  </si>
  <si>
    <r>
      <t>R3.</t>
    </r>
    <r>
      <rPr>
        <sz val="12"/>
        <color theme="1"/>
        <rFont val="Calibri"/>
        <family val="2"/>
      </rPr>
      <t xml:space="preserve"> % de domicílios rurais atendidos por coleta direta e indireta de resíduos sólidos</t>
    </r>
  </si>
  <si>
    <r>
      <t xml:space="preserve">R4. </t>
    </r>
    <r>
      <rPr>
        <sz val="12"/>
        <color theme="1"/>
        <rFont val="Calibri"/>
        <family val="2"/>
      </rPr>
      <t>% de domicílios cujos resíduos sólidos tem tratamento e destinação final ambientalmente adequados nos termos da Lei 12.305/2010</t>
    </r>
  </si>
  <si>
    <r>
      <t xml:space="preserve">R5. </t>
    </r>
    <r>
      <rPr>
        <sz val="12"/>
        <color theme="1"/>
        <rFont val="Calibri"/>
        <family val="2"/>
      </rPr>
      <t>% de domicílios com coleta seletiva de resíduos sólidos</t>
    </r>
  </si>
  <si>
    <r>
      <t xml:space="preserve">D1. </t>
    </r>
    <r>
      <rPr>
        <sz val="12"/>
        <color theme="1"/>
        <rFont val="Calibri"/>
        <family val="2"/>
      </rPr>
      <t>% de domicílios urbanos e rurais atendidos por microdrenagem (sarjeta e/ou rede)</t>
    </r>
  </si>
  <si>
    <r>
      <t xml:space="preserve">D2. </t>
    </r>
    <r>
      <rPr>
        <sz val="12"/>
        <color theme="1"/>
        <rFont val="Calibri"/>
        <family val="2"/>
      </rPr>
      <t>% de domicílios urbanos atendidos por microdrenagem (sarjeta e/ou rede)</t>
    </r>
  </si>
  <si>
    <r>
      <t xml:space="preserve">D3. </t>
    </r>
    <r>
      <rPr>
        <sz val="12"/>
        <color theme="1"/>
        <rFont val="Calibri"/>
        <family val="2"/>
      </rPr>
      <t>% de domicílios rurais atendidos por microdrenagem (sarjeta e/ou rede)</t>
    </r>
  </si>
  <si>
    <r>
      <t xml:space="preserve">D4. </t>
    </r>
    <r>
      <rPr>
        <sz val="12"/>
        <color theme="1"/>
        <rFont val="Calibri"/>
        <family val="2"/>
      </rPr>
      <t>Quantidade de áreas em que ocorreram inundações e/ou enxurradas</t>
    </r>
  </si>
  <si>
    <t>Ano</t>
  </si>
  <si>
    <t>Populações</t>
  </si>
  <si>
    <t>Urbana</t>
  </si>
  <si>
    <t>Ano do Censo</t>
  </si>
  <si>
    <t>Tabela 202 - População residente por sexo e situação do domicílio</t>
  </si>
  <si>
    <t>Brasil e Distritos</t>
  </si>
  <si>
    <t>Situação do domicílio</t>
  </si>
  <si>
    <t xml:space="preserve"> Ano </t>
  </si>
  <si>
    <t>Brasil</t>
  </si>
  <si>
    <t>Cromínia - Cromínia - GO</t>
  </si>
  <si>
    <t xml:space="preserve"> - </t>
  </si>
  <si>
    <t>Gameleira de Goiás - Gameleira de Goiás - GO</t>
  </si>
  <si>
    <t>Itaguari - Itaguari - GO</t>
  </si>
  <si>
    <t>Itauçu - Itauçu - GO</t>
  </si>
  <si>
    <t>Leopoldo de Bulhões - Leopoldo de Bulhões - GO</t>
  </si>
  <si>
    <t>Silvânia - Silvânia - GO</t>
  </si>
  <si>
    <t>Nota:_x000D_
_x000D_
Para os anos de 1970, 1980 e 1991:_x000D_
_x000D_
1 - Dados da Amostra_x000D_
_x000D_
Para os anos de 2000 e 2010:_x000D_
_x000D_
1 - Para os níveis territoriais Bairro e Subdistrito só existem dados carregados para o ano de 2000._x000D_
_x000D_
2 - Para os níveis territoriais Região Metropolitana e Região Metropolitana e Subdivisão só existem dados carregados para os anos de 2000 e 2010 ._x000D_
_x000D_
3 - Nem todos os municípios possuem subdistritos e bairros._x000D_
_x000D_
4 - A RIDE Petrolina/Juazeiro (Região Integrada de Desenvolvimento do Polo Petrolina/PE e Juazeiro/BA) é composta por municípios das unidades da federação Pernambuco e Bahia;_x000D_
_x000D_
5 - A RIDE Grande Teresina (Região Integrada de Desenvolvimento da Grande Teresina) é composta por municípios das unidades da federação Maranhão e Piauí;_x000D_
_x000D_
6 - A RIDE Distrito Federal e ent Entorno (Região Integrada de Desenvolvimento do Distrito Federal e Entorno) é composta por municípios das unidades da federação Minas Gerais, Goiás e Distrito Federal._x000D_
_x000D_
7 - De acordo com a legislação vigente, alguns subdistritos estão contidos em mais de um distrito, conforme listado abaixo:_x000D_
_x000D_
    Município de Fortaleza:_x000D_
        Subdistrito Antonio Bezerra faz parte dos distritos Fortaleza e Antonio Bezerra_x000D_
        Subdistrito Conjunto Ceará faz parte dos distritos Antonio Bezerra e Mondubim_x000D_
_x000D_
    Município de Cuiabá:_x000D_
        Subdistritos Administração Regional Centro-Leste  e  Administração Regional do_x000D_
         Norte fazem parte dos distritos Cuiabá e Coxipó da Ponte_x000D_
_x000D_
    Município de Belo Horizonte:_x000D_
        Subdistrito Oeste faz parte dos distritos Belo Horizonte e Barreiro_x000D_
        Subdistritos Nordeste, Pampulha e Venda Nova  fazem parte dos distritos_x000D_
         Belo Horizonte e Venda Nova_x000D_
_x000D_
8 - Dados do Universo</t>
  </si>
  <si>
    <t>Fonte: IBGE - Censo Demográfico</t>
  </si>
  <si>
    <t>2000/1991</t>
  </si>
  <si>
    <t>2010/2000</t>
  </si>
  <si>
    <t>Tx Geom Cresc. (%)</t>
  </si>
  <si>
    <t>População</t>
  </si>
  <si>
    <t>Adotada</t>
  </si>
  <si>
    <t>Atendida</t>
  </si>
  <si>
    <t>Existente</t>
  </si>
  <si>
    <t>Déficit</t>
  </si>
  <si>
    <t>Populações Urbanas Atendidas e Déficits</t>
  </si>
  <si>
    <t>Populações Rurais Atendidas e Déficits</t>
  </si>
  <si>
    <t>Abastecimento de Água</t>
  </si>
  <si>
    <t>Esgotamento Sanitário</t>
  </si>
  <si>
    <t>A atender</t>
  </si>
  <si>
    <t>Déficit a atender</t>
  </si>
  <si>
    <t>Drenagem Urbana</t>
  </si>
  <si>
    <t/>
  </si>
  <si>
    <t>Valor Per Capita</t>
  </si>
  <si>
    <t>TOTAL</t>
  </si>
  <si>
    <t>Abastecimento de Água - Novo</t>
  </si>
  <si>
    <t>Abastecimento de Água - Reposição</t>
  </si>
  <si>
    <t>Abastecimento de Água - Instalações Hidrossanitárias</t>
  </si>
  <si>
    <t>Investimentos em Sistemas Produtivos</t>
  </si>
  <si>
    <t>Item</t>
  </si>
  <si>
    <t>Novo</t>
  </si>
  <si>
    <t>Reposição</t>
  </si>
  <si>
    <t>Necessidades de Investimentos em Abastecimento de água - Novo</t>
  </si>
  <si>
    <t>Rede de Distribuição de água</t>
  </si>
  <si>
    <t>Poços ou Nascentes</t>
  </si>
  <si>
    <t>Instalações Hidrossanitárias</t>
  </si>
  <si>
    <t>Sistemas Produtivos</t>
  </si>
  <si>
    <t>Necessidades de Investimentos em Abastecimento de água - Reposição</t>
  </si>
  <si>
    <t>Total Geral</t>
  </si>
  <si>
    <t>Síntese dos Investimentos em Abastecimento de Água - Novo e Reposição</t>
  </si>
  <si>
    <t>Pop Aten. (hab)</t>
  </si>
  <si>
    <t>Déficit (hab)</t>
  </si>
  <si>
    <t>Per Capita (R$/hab)</t>
  </si>
  <si>
    <t>Valor (R$)</t>
  </si>
  <si>
    <t>Esgotamento Sanitário - Novo</t>
  </si>
  <si>
    <t>Esgotamento Sanitário - Reposição</t>
  </si>
  <si>
    <t>Investimentos em Rede Coletora de Esgotos</t>
  </si>
  <si>
    <t>Fossas Sépticas Seguidas de Sumidouro</t>
  </si>
  <si>
    <t>Esgotamento Sanitário Urbano - Novo</t>
  </si>
  <si>
    <t>Esgotamento Sanitário Rural - Novo</t>
  </si>
  <si>
    <t>Esgotamento Sanitário Urbano - Reposição</t>
  </si>
  <si>
    <t>Esgotamento Sanitário Rural - Resposição</t>
  </si>
  <si>
    <t>Investimentos em Tratamento de Esgotos</t>
  </si>
  <si>
    <t>Necessidades de Investimentos em Esgotamento Sanitário - Novo</t>
  </si>
  <si>
    <t>Necessidades de Investimentos em Esgotamento Sanitário - Reposição</t>
  </si>
  <si>
    <t>Síntese dos Investimentos em Esgotamento Sanitário - Novo e Reposição</t>
  </si>
  <si>
    <t>Rede Coletora de Esgotos</t>
  </si>
  <si>
    <t>Fossas Sépticas e Sumidouros</t>
  </si>
  <si>
    <t>Tratamento</t>
  </si>
  <si>
    <t xml:space="preserve">Limpeza Urbana e Resíduos Sólidos </t>
  </si>
  <si>
    <t>Resíduos Sólidos Urbanos - Novo</t>
  </si>
  <si>
    <t>Resíduos Sólidos Urbanos - Reposição</t>
  </si>
  <si>
    <t>Investimentos em Aterros Sanitários</t>
  </si>
  <si>
    <t>Aterro Sanitário</t>
  </si>
  <si>
    <t>Unidades de Triagem</t>
  </si>
  <si>
    <t>Equipamentos</t>
  </si>
  <si>
    <t>Necessidades de Investimentos em Resíduos Sólidos - Novo</t>
  </si>
  <si>
    <t>Necessidades de Investimentos em Resíduos Sólidos - Reposição</t>
  </si>
  <si>
    <t>Síntese dos Investimentos em Resíduos Sólidos - Novo e Reposição</t>
  </si>
  <si>
    <t>Drenagem Urbana - Novo</t>
  </si>
  <si>
    <t>Drenagem Urbana - Reposição</t>
  </si>
  <si>
    <t>Investimentos em Galerias de Águas Pluviais</t>
  </si>
  <si>
    <t>Investimentos em Bacias de Amortecimento</t>
  </si>
  <si>
    <t>Necessidades de Investimentos em Drenagem Urbana - Novo</t>
  </si>
  <si>
    <t>Necessidades de Investimentos em Drenagem Urbana - Reposição</t>
  </si>
  <si>
    <t>Síntese dos Investimentos em Drenagem Urbana - Novo e Reposição</t>
  </si>
  <si>
    <t>Galerias de Águas Pluviais</t>
  </si>
  <si>
    <t>Bacias de Amortecimento</t>
  </si>
  <si>
    <t>Necessidades de Investimentos nos 4 eixos - Novo</t>
  </si>
  <si>
    <t>Necessidades de Investimentos nos 4 eixos - Resposição</t>
  </si>
  <si>
    <t>Síntese dos Investimentos nos 4 eixos - Novo e Reposição</t>
  </si>
  <si>
    <t>Abastecimento de água</t>
  </si>
  <si>
    <t>Resíduos Sólidos</t>
  </si>
  <si>
    <t>Fortalecimento Institucional</t>
  </si>
  <si>
    <t xml:space="preserve">Déficit </t>
  </si>
  <si>
    <t>Investimentos Rede de Distribuição de Água - Urbana</t>
  </si>
  <si>
    <t>Investimentos em Poços ou Nascentes - Rural</t>
  </si>
  <si>
    <t>Resíduos Sólidos Rurais - Novo</t>
  </si>
  <si>
    <t>Resíduos Sólidos Rurais - Reposição</t>
  </si>
  <si>
    <t>Unidades de Compostagem e Triagem - Urbano</t>
  </si>
  <si>
    <t>Unidades de Compostagem e Triagem - Rural</t>
  </si>
  <si>
    <t>Campos em amarelo - a preencher.</t>
  </si>
  <si>
    <t>Campoe em cinza - não preencher.</t>
  </si>
  <si>
    <t>Campos em verde - cálculado pela planilha.</t>
  </si>
  <si>
    <t>DRENAGEM E MANEJO DAS ÁGUAS PLUVIAIS URBANAS</t>
  </si>
  <si>
    <t>1.1</t>
  </si>
  <si>
    <t>1.2</t>
  </si>
  <si>
    <t>2.1</t>
  </si>
  <si>
    <t>2.2</t>
  </si>
  <si>
    <t>3.1</t>
  </si>
  <si>
    <t>3.2</t>
  </si>
  <si>
    <t>(Ano:  _____ )</t>
  </si>
  <si>
    <t>(Ano: _____)</t>
  </si>
  <si>
    <t>Ano 0</t>
  </si>
  <si>
    <t>Ano 5</t>
  </si>
  <si>
    <t>Ano 10</t>
  </si>
  <si>
    <t>Ano 20</t>
  </si>
  <si>
    <t>Quadro 8.4.1 - Populações Históricas</t>
  </si>
  <si>
    <t>Quadro 8.4.2 - Projeção Populacional</t>
  </si>
  <si>
    <t>Quadro 8.4.3 - Populações Atendidas e Déficits de Atendimento Populacional no Período de Planejamento</t>
  </si>
  <si>
    <t>Quadro 8.4.4 - Instalações Hidrossanitárias</t>
  </si>
  <si>
    <t>Quadro 8.4.5 - Necessidades de Investimentos para ampliação e reposição de redes de distribuição de água</t>
  </si>
  <si>
    <t xml:space="preserve">Curto </t>
  </si>
  <si>
    <t>Médio</t>
  </si>
  <si>
    <t>Longo</t>
  </si>
  <si>
    <t>Curto</t>
  </si>
  <si>
    <t>Quadro 8.4.6 - Necessidades de Investimentos</t>
  </si>
  <si>
    <t>Quadro 8.4.8 - Necessidades de Investimentos para ampliação do sistema produtivo por soluções individuais</t>
  </si>
  <si>
    <t xml:space="preserve">Quadro 8.4.7 - Necessidades de Investimentos para ampliação do sistema produtivo por soluções coletiva </t>
  </si>
  <si>
    <t>Quadro 8.4.9 - Necessidades de Investimentos para ampliação e reposição de redes coletoras de esgotos</t>
  </si>
  <si>
    <t>Quadro 8.4.10 - Necessidades de Investimentos para ampliação e reposição de unidades de tratamento</t>
  </si>
  <si>
    <t xml:space="preserve">Quadro 8.4.11 - Necessidades de Investimentos em fosss sépticas em áres urbanas </t>
  </si>
  <si>
    <t xml:space="preserve">Quadro 8.4.12 - Necessidades de Investimentos em fosss sépticas em áres rurais </t>
  </si>
  <si>
    <t>Quadro 8.4.16 - Necessidades de Investimentos em Unidades de Compostagem e Triagem para Populações Rurais</t>
  </si>
  <si>
    <t>Quadro 8.4.15 - Necessidades de Investimentos em Unidades de Compostagem e Triagem para Populações Urbanas</t>
  </si>
  <si>
    <t>Quadro 8.4.14 - Necessidades de Investimentos em Aterros Sanitários para Populações Rurais</t>
  </si>
  <si>
    <t>Quadro 8.4.13 - Necessidades de Investimentos em Aterros Sanitários para Populações Urbanas</t>
  </si>
  <si>
    <t>Quadro 8.4.17 - Necessidades de Investimentos em Redes Coletoras de Águas Pluviais Urbanas</t>
  </si>
  <si>
    <t>Quadro 8.4.18 - Necessidades de Investimentos em Reservatórios de Amortecimento de vazão</t>
  </si>
  <si>
    <t>Quadro 8.4.19 - Necessidades de Investimentos para o Sistema de Abastecimento de Água - Investimentos e Reposição</t>
  </si>
  <si>
    <t>Quadro 8.4.20 - Necessidades de Investimentos para o Sistema de Esgotamento Sanitário - Investimentos e Reposição</t>
  </si>
  <si>
    <t>Quadro 8.4.21 - Necessidades de Investimentos para o Sistema de Limpeza Urbana e Manejo de Resíduos Sólidos - Investimentos e Reposição</t>
  </si>
  <si>
    <t>Investimentos</t>
  </si>
  <si>
    <t>Quadro 8.4.22 - Necessidades de Investimentos para o Sistema de Drenagem e Manejo de Águas Pluviais Urbanas - Investimentos e Reposição</t>
  </si>
  <si>
    <t>Quadro 8.4.23 - Síntese das Necessidades de Investimentos para o Saneamento Básico, incluindo Fortalecimento Institucionoal e  - Investimentos e Reposição</t>
  </si>
  <si>
    <t xml:space="preserve">Quadro 7.5.1 – Prestação dos Serviços de Abastecimento de Água </t>
  </si>
  <si>
    <t>Quadro 7.1.1 – Caracterização do Município</t>
  </si>
  <si>
    <t xml:space="preserve">Quadro 7.5.2 – Prestação dos Serviços de Esgotamento Sanitário </t>
  </si>
  <si>
    <t>Quadro 7.5.3 – Prestação dos Serviços de Limpeza Urbana e Manejo de Resíduos Sólidos</t>
  </si>
  <si>
    <t xml:space="preserve">Quadro 7.5.4 – Prestação dos Serviços de Drenagem e Manejo de Águas Pluviais Urbanas </t>
  </si>
  <si>
    <t>Quadro 8.3.1 – Indicadores e Metas a serem atingidas pelo Plano Municipal de Saneamento Básico (1/2)</t>
  </si>
  <si>
    <t>Quadro 8.3.1 – Indicadores e Metas a serem atingidas pelo Plano Municipal de Saneamento Básico (2/2)</t>
  </si>
  <si>
    <r>
      <t>Fontes: 1 (</t>
    </r>
    <r>
      <rPr>
        <sz val="12"/>
        <color theme="1"/>
        <rFont val="Times New Roman"/>
        <family val="1"/>
      </rPr>
      <t xml:space="preserve">www.snis.gov.br; www.ibge.gov.br); 2 a 5 (www.snis.gov.br); </t>
    </r>
  </si>
  <si>
    <t>Fontes: 1 (www.snis.gov.br; www.ibge.gov.br); 2 (www.snis.gov.br)</t>
  </si>
  <si>
    <t>Fontes: 1 (www.snis.gov.br; prefeitura municipal); 2 a 6 (www.snis.gov.br);</t>
  </si>
  <si>
    <t>Fontes: Prefeitura Municipal</t>
  </si>
  <si>
    <t>Quadro 8.4.4 - Populações Atendidas e Déficits</t>
  </si>
  <si>
    <t xml:space="preserve">Outros </t>
  </si>
  <si>
    <t>Outros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</si>
</sst>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trike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3" fontId="0" fillId="3" borderId="0" xfId="0" applyNumberFormat="1" applyFill="1"/>
    <xf numFmtId="164" fontId="0" fillId="0" borderId="0" xfId="1" applyNumberFormat="1" applyFont="1"/>
    <xf numFmtId="164" fontId="0" fillId="0" borderId="0" xfId="0" applyNumberFormat="1"/>
    <xf numFmtId="0" fontId="0" fillId="0" borderId="0" xfId="0" quotePrefix="1"/>
    <xf numFmtId="0" fontId="0" fillId="0" borderId="11" xfId="0" applyBorder="1"/>
    <xf numFmtId="164" fontId="0" fillId="0" borderId="11" xfId="0" applyNumberFormat="1" applyBorder="1"/>
    <xf numFmtId="43" fontId="0" fillId="0" borderId="11" xfId="1" applyFont="1" applyBorder="1"/>
    <xf numFmtId="164" fontId="0" fillId="0" borderId="0" xfId="0" applyNumberFormat="1" applyFill="1" applyBorder="1"/>
    <xf numFmtId="0" fontId="0" fillId="4" borderId="11" xfId="0" applyFill="1" applyBorder="1"/>
    <xf numFmtId="164" fontId="0" fillId="4" borderId="11" xfId="1" applyNumberFormat="1" applyFont="1" applyFill="1" applyBorder="1"/>
    <xf numFmtId="0" fontId="7" fillId="0" borderId="0" xfId="0" applyFont="1"/>
    <xf numFmtId="0" fontId="7" fillId="0" borderId="0" xfId="0" applyFont="1" applyAlignment="1"/>
    <xf numFmtId="0" fontId="7" fillId="0" borderId="12" xfId="0" applyFont="1" applyBorder="1" applyAlignment="1"/>
    <xf numFmtId="0" fontId="0" fillId="0" borderId="0" xfId="0" applyBorder="1"/>
    <xf numFmtId="164" fontId="0" fillId="0" borderId="0" xfId="0" applyNumberFormat="1" applyBorder="1"/>
    <xf numFmtId="164" fontId="7" fillId="0" borderId="0" xfId="0" applyNumberFormat="1" applyFont="1"/>
    <xf numFmtId="164" fontId="0" fillId="0" borderId="11" xfId="0" applyNumberFormat="1" applyFill="1" applyBorder="1"/>
    <xf numFmtId="0" fontId="0" fillId="0" borderId="11" xfId="0" applyBorder="1" applyAlignment="1">
      <alignment horizontal="center"/>
    </xf>
    <xf numFmtId="43" fontId="2" fillId="5" borderId="4" xfId="1" applyFont="1" applyFill="1" applyBorder="1" applyAlignment="1">
      <alignment horizontal="right" vertical="center" wrapText="1"/>
    </xf>
    <xf numFmtId="2" fontId="2" fillId="5" borderId="4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3" fontId="2" fillId="5" borderId="4" xfId="0" applyNumberFormat="1" applyFont="1" applyFill="1" applyBorder="1" applyAlignment="1">
      <alignment horizontal="right" vertical="center" wrapText="1"/>
    </xf>
    <xf numFmtId="3" fontId="2" fillId="6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2" fontId="2" fillId="6" borderId="4" xfId="0" applyNumberFormat="1" applyFont="1" applyFill="1" applyBorder="1" applyAlignment="1">
      <alignment horizontal="right" vertical="center" wrapText="1"/>
    </xf>
    <xf numFmtId="43" fontId="0" fillId="3" borderId="0" xfId="1" applyFont="1" applyFill="1"/>
    <xf numFmtId="0" fontId="0" fillId="5" borderId="0" xfId="0" applyFill="1"/>
    <xf numFmtId="0" fontId="2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right" vertical="center" wrapText="1"/>
    </xf>
    <xf numFmtId="43" fontId="2" fillId="6" borderId="4" xfId="1" applyFont="1" applyFill="1" applyBorder="1" applyAlignment="1">
      <alignment horizontal="right" vertical="center" wrapText="1"/>
    </xf>
    <xf numFmtId="43" fontId="2" fillId="5" borderId="4" xfId="0" applyNumberFormat="1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3" fontId="0" fillId="6" borderId="11" xfId="0" applyNumberFormat="1" applyFill="1" applyBorder="1"/>
    <xf numFmtId="2" fontId="0" fillId="5" borderId="11" xfId="0" applyNumberFormat="1" applyFill="1" applyBorder="1"/>
    <xf numFmtId="43" fontId="0" fillId="6" borderId="11" xfId="1" applyFont="1" applyFill="1" applyBorder="1"/>
    <xf numFmtId="43" fontId="0" fillId="0" borderId="11" xfId="1" applyFont="1" applyFill="1" applyBorder="1"/>
    <xf numFmtId="0" fontId="0" fillId="0" borderId="11" xfId="0" applyFill="1" applyBorder="1"/>
    <xf numFmtId="164" fontId="0" fillId="0" borderId="11" xfId="1" applyNumberFormat="1" applyFont="1" applyFill="1" applyBorder="1"/>
    <xf numFmtId="0" fontId="7" fillId="0" borderId="11" xfId="0" applyFont="1" applyBorder="1" applyAlignment="1">
      <alignment horizontal="center"/>
    </xf>
    <xf numFmtId="0" fontId="0" fillId="6" borderId="11" xfId="0" applyFill="1" applyBorder="1"/>
    <xf numFmtId="0" fontId="0" fillId="5" borderId="11" xfId="0" applyFill="1" applyBorder="1"/>
    <xf numFmtId="164" fontId="0" fillId="6" borderId="11" xfId="1" applyNumberFormat="1" applyFont="1" applyFill="1" applyBorder="1"/>
    <xf numFmtId="164" fontId="0" fillId="6" borderId="11" xfId="0" applyNumberFormat="1" applyFill="1" applyBorder="1"/>
    <xf numFmtId="164" fontId="0" fillId="5" borderId="11" xfId="0" applyNumberFormat="1" applyFill="1" applyBorder="1"/>
    <xf numFmtId="0" fontId="0" fillId="0" borderId="0" xfId="0" applyFill="1"/>
    <xf numFmtId="0" fontId="7" fillId="0" borderId="0" xfId="0" applyFont="1" applyFill="1"/>
    <xf numFmtId="0" fontId="0" fillId="0" borderId="11" xfId="0" applyFill="1" applyBorder="1" applyAlignment="1">
      <alignment horizontal="center"/>
    </xf>
    <xf numFmtId="164" fontId="0" fillId="0" borderId="0" xfId="0" applyNumberFormat="1" applyFill="1"/>
    <xf numFmtId="43" fontId="0" fillId="0" borderId="15" xfId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0" fillId="0" borderId="0" xfId="0" applyFill="1" applyBorder="1"/>
    <xf numFmtId="43" fontId="0" fillId="0" borderId="0" xfId="1" applyFont="1" applyFill="1" applyBorder="1"/>
    <xf numFmtId="3" fontId="0" fillId="0" borderId="0" xfId="0" applyNumberFormat="1" applyFill="1" applyBorder="1"/>
    <xf numFmtId="2" fontId="0" fillId="0" borderId="0" xfId="0" applyNumberFormat="1" applyFill="1" applyBorder="1"/>
    <xf numFmtId="164" fontId="0" fillId="5" borderId="0" xfId="1" applyNumberFormat="1" applyFont="1" applyFill="1"/>
    <xf numFmtId="164" fontId="0" fillId="5" borderId="0" xfId="0" applyNumberFormat="1" applyFill="1"/>
    <xf numFmtId="0" fontId="2" fillId="0" borderId="3" xfId="0" applyFont="1" applyBorder="1" applyAlignment="1">
      <alignment vertical="center" wrapText="1"/>
    </xf>
    <xf numFmtId="3" fontId="0" fillId="5" borderId="11" xfId="0" applyNumberFormat="1" applyFill="1" applyBorder="1"/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43" fontId="2" fillId="8" borderId="4" xfId="1" applyFont="1" applyFill="1" applyBorder="1" applyAlignment="1">
      <alignment horizontal="right" vertical="center" wrapText="1"/>
    </xf>
    <xf numFmtId="2" fontId="2" fillId="8" borderId="4" xfId="0" applyNumberFormat="1" applyFont="1" applyFill="1" applyBorder="1" applyAlignment="1">
      <alignment horizontal="right" vertical="center" wrapText="1"/>
    </xf>
    <xf numFmtId="0" fontId="2" fillId="8" borderId="4" xfId="0" applyFont="1" applyFill="1" applyBorder="1" applyAlignment="1">
      <alignment horizontal="right" vertical="center" wrapText="1"/>
    </xf>
    <xf numFmtId="43" fontId="2" fillId="8" borderId="4" xfId="0" applyNumberFormat="1" applyFont="1" applyFill="1" applyBorder="1" applyAlignment="1">
      <alignment horizontal="right" vertical="center" wrapText="1"/>
    </xf>
    <xf numFmtId="0" fontId="2" fillId="8" borderId="4" xfId="0" applyFont="1" applyFill="1" applyBorder="1" applyAlignment="1">
      <alignment vertical="center" wrapText="1"/>
    </xf>
    <xf numFmtId="0" fontId="0" fillId="8" borderId="0" xfId="0" applyFill="1"/>
    <xf numFmtId="0" fontId="2" fillId="8" borderId="8" xfId="0" applyFont="1" applyFill="1" applyBorder="1" applyAlignment="1">
      <alignment horizontal="right" vertical="center" wrapText="1"/>
    </xf>
    <xf numFmtId="0" fontId="2" fillId="8" borderId="3" xfId="0" applyFont="1" applyFill="1" applyBorder="1" applyAlignment="1">
      <alignment horizontal="right" vertical="center" wrapText="1"/>
    </xf>
    <xf numFmtId="0" fontId="1" fillId="8" borderId="3" xfId="0" applyFont="1" applyFill="1" applyBorder="1" applyAlignment="1">
      <alignment horizontal="justify" vertical="center" wrapText="1"/>
    </xf>
    <xf numFmtId="0" fontId="0" fillId="8" borderId="11" xfId="0" applyFill="1" applyBorder="1"/>
    <xf numFmtId="0" fontId="7" fillId="8" borderId="1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5" xfId="0" applyFont="1" applyFill="1" applyBorder="1"/>
    <xf numFmtId="0" fontId="7" fillId="8" borderId="11" xfId="0" applyFont="1" applyFill="1" applyBorder="1"/>
    <xf numFmtId="164" fontId="0" fillId="8" borderId="11" xfId="1" applyNumberFormat="1" applyFont="1" applyFill="1" applyBorder="1"/>
    <xf numFmtId="0" fontId="0" fillId="8" borderId="15" xfId="0" applyFill="1" applyBorder="1"/>
    <xf numFmtId="164" fontId="0" fillId="8" borderId="15" xfId="0" applyNumberFormat="1" applyFill="1" applyBorder="1"/>
    <xf numFmtId="0" fontId="0" fillId="8" borderId="11" xfId="0" applyFont="1" applyFill="1" applyBorder="1"/>
    <xf numFmtId="164" fontId="6" fillId="8" borderId="11" xfId="1" applyNumberFormat="1" applyFont="1" applyFill="1" applyBorder="1"/>
    <xf numFmtId="0" fontId="0" fillId="8" borderId="11" xfId="0" applyFill="1" applyBorder="1" applyAlignment="1">
      <alignment horizontal="center"/>
    </xf>
    <xf numFmtId="0" fontId="7" fillId="8" borderId="0" xfId="0" applyFont="1" applyFill="1"/>
    <xf numFmtId="0" fontId="7" fillId="8" borderId="0" xfId="0" applyFont="1" applyFill="1" applyAlignment="1"/>
    <xf numFmtId="0" fontId="7" fillId="8" borderId="12" xfId="0" applyFont="1" applyFill="1" applyBorder="1" applyAlignment="1"/>
    <xf numFmtId="164" fontId="0" fillId="8" borderId="11" xfId="0" applyNumberFormat="1" applyFill="1" applyBorder="1"/>
    <xf numFmtId="0" fontId="0" fillId="8" borderId="0" xfId="0" applyFill="1" applyBorder="1"/>
    <xf numFmtId="164" fontId="0" fillId="8" borderId="0" xfId="0" applyNumberFormat="1" applyFill="1" applyBorder="1"/>
    <xf numFmtId="164" fontId="0" fillId="8" borderId="0" xfId="0" applyNumberFormat="1" applyFill="1"/>
    <xf numFmtId="164" fontId="7" fillId="8" borderId="0" xfId="0" applyNumberFormat="1" applyFont="1" applyFill="1"/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9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horizontal="center"/>
    </xf>
    <xf numFmtId="0" fontId="0" fillId="8" borderId="19" xfId="0" applyFill="1" applyBorder="1" applyAlignment="1">
      <alignment horizontal="left"/>
    </xf>
    <xf numFmtId="43" fontId="2" fillId="7" borderId="8" xfId="1" applyFont="1" applyFill="1" applyBorder="1" applyAlignment="1">
      <alignment horizontal="right" vertical="center" wrapText="1"/>
    </xf>
    <xf numFmtId="43" fontId="2" fillId="7" borderId="3" xfId="1" applyFont="1" applyFill="1" applyBorder="1" applyAlignment="1">
      <alignment horizontal="right" vertical="center" wrapText="1"/>
    </xf>
    <xf numFmtId="0" fontId="2" fillId="7" borderId="8" xfId="0" applyFont="1" applyFill="1" applyBorder="1" applyAlignment="1">
      <alignment horizontal="right" vertical="center" wrapText="1"/>
    </xf>
    <xf numFmtId="0" fontId="2" fillId="7" borderId="3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right" vertical="center" wrapText="1"/>
    </xf>
    <xf numFmtId="0" fontId="2" fillId="6" borderId="3" xfId="0" applyFont="1" applyFill="1" applyBorder="1" applyAlignment="1">
      <alignment horizontal="right" vertical="center" wrapText="1"/>
    </xf>
    <xf numFmtId="0" fontId="2" fillId="8" borderId="1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/>
    </xf>
    <xf numFmtId="0" fontId="0" fillId="8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/>
    </xf>
    <xf numFmtId="0" fontId="7" fillId="8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8" borderId="1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8" borderId="1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164" fontId="0" fillId="8" borderId="11" xfId="0" applyNumberForma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E7" sqref="E7"/>
    </sheetView>
  </sheetViews>
  <sheetFormatPr defaultRowHeight="14.4" x14ac:dyDescent="0.3"/>
  <cols>
    <col min="3" max="3" width="64.77734375" bestFit="1" customWidth="1"/>
  </cols>
  <sheetData>
    <row r="2" spans="2:10" ht="18.600000000000001" thickBot="1" x14ac:dyDescent="0.4">
      <c r="B2" s="120" t="s">
        <v>238</v>
      </c>
      <c r="C2" s="120"/>
      <c r="D2" s="120"/>
      <c r="E2" s="120"/>
      <c r="F2" s="120"/>
      <c r="G2" s="120"/>
    </row>
    <row r="3" spans="2:10" ht="31.8" thickBot="1" x14ac:dyDescent="0.3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10" ht="16.2" thickBot="1" x14ac:dyDescent="0.35">
      <c r="B4" s="80">
        <v>1</v>
      </c>
      <c r="C4" s="81" t="s">
        <v>6</v>
      </c>
      <c r="D4" s="37">
        <v>2010</v>
      </c>
      <c r="E4" s="4"/>
      <c r="F4" s="4"/>
      <c r="G4" s="37">
        <v>364.1</v>
      </c>
    </row>
    <row r="5" spans="2:10" ht="16.2" thickBot="1" x14ac:dyDescent="0.35">
      <c r="B5" s="80">
        <v>2</v>
      </c>
      <c r="C5" s="81" t="s">
        <v>7</v>
      </c>
      <c r="D5" s="37">
        <v>2010</v>
      </c>
      <c r="E5" s="4"/>
      <c r="F5" s="4"/>
      <c r="G5" s="37">
        <v>9.76</v>
      </c>
    </row>
    <row r="6" spans="2:10" ht="16.2" thickBot="1" x14ac:dyDescent="0.35">
      <c r="B6" s="80">
        <v>3</v>
      </c>
      <c r="C6" s="81" t="s">
        <v>8</v>
      </c>
      <c r="D6" s="37">
        <v>2016</v>
      </c>
      <c r="E6" s="40">
        <v>2717</v>
      </c>
      <c r="F6" s="39">
        <f>G6-E6</f>
        <v>894</v>
      </c>
      <c r="G6" s="40">
        <v>3611</v>
      </c>
    </row>
    <row r="7" spans="2:10" ht="16.2" thickBot="1" x14ac:dyDescent="0.35">
      <c r="B7" s="80">
        <v>4</v>
      </c>
      <c r="C7" s="81" t="s">
        <v>9</v>
      </c>
      <c r="D7" s="37">
        <v>2010</v>
      </c>
      <c r="E7" s="37">
        <v>2.77</v>
      </c>
      <c r="F7" s="37">
        <v>2.99</v>
      </c>
      <c r="G7" s="37">
        <v>2.82</v>
      </c>
    </row>
    <row r="8" spans="2:10" ht="16.2" thickBot="1" x14ac:dyDescent="0.35">
      <c r="B8" s="80">
        <v>5</v>
      </c>
      <c r="C8" s="81" t="s">
        <v>10</v>
      </c>
      <c r="D8" s="37">
        <v>2016</v>
      </c>
      <c r="E8" s="38">
        <f>ROUND(E6/E7,0)</f>
        <v>981</v>
      </c>
      <c r="F8" s="38">
        <f>ROUND(F6/F7,0)</f>
        <v>299</v>
      </c>
      <c r="G8" s="38">
        <f>ROUND(G6/G7,0)</f>
        <v>1280</v>
      </c>
      <c r="I8">
        <f>E6/E7</f>
        <v>980.8664259927798</v>
      </c>
      <c r="J8">
        <f>F6/F7</f>
        <v>298.99665551839462</v>
      </c>
    </row>
    <row r="9" spans="2:10" ht="16.2" thickBot="1" x14ac:dyDescent="0.35">
      <c r="B9" s="80">
        <v>6</v>
      </c>
      <c r="C9" s="81" t="s">
        <v>11</v>
      </c>
      <c r="D9" s="37">
        <v>2010</v>
      </c>
      <c r="E9" s="4"/>
      <c r="F9" s="4"/>
      <c r="G9" s="37">
        <v>0.70599999999999996</v>
      </c>
    </row>
    <row r="10" spans="2:10" ht="16.2" thickBot="1" x14ac:dyDescent="0.35">
      <c r="B10" s="80">
        <v>7</v>
      </c>
      <c r="C10" s="81" t="s">
        <v>12</v>
      </c>
      <c r="D10" s="37">
        <v>2014</v>
      </c>
      <c r="E10" s="4"/>
      <c r="F10" s="4"/>
      <c r="G10" s="37" t="s">
        <v>13</v>
      </c>
      <c r="I10">
        <f>ROUND(E6/E7,0)</f>
        <v>981</v>
      </c>
      <c r="J10">
        <f>ROUND(F6/F7,0)</f>
        <v>299</v>
      </c>
    </row>
    <row r="11" spans="2:10" ht="16.2" thickBot="1" x14ac:dyDescent="0.35">
      <c r="B11" s="80">
        <v>8</v>
      </c>
      <c r="C11" s="81" t="s">
        <v>14</v>
      </c>
      <c r="D11" s="37">
        <v>2016</v>
      </c>
      <c r="E11" s="4"/>
      <c r="F11" s="4"/>
      <c r="G11" s="37">
        <v>1.1000000000000001</v>
      </c>
    </row>
    <row r="12" spans="2:10" ht="16.2" thickBot="1" x14ac:dyDescent="0.35">
      <c r="B12" s="80">
        <v>9</v>
      </c>
      <c r="C12" s="81" t="s">
        <v>15</v>
      </c>
      <c r="D12" s="111" t="s">
        <v>16</v>
      </c>
      <c r="E12" s="112"/>
      <c r="F12" s="112"/>
      <c r="G12" s="113"/>
    </row>
    <row r="13" spans="2:10" ht="16.2" thickBot="1" x14ac:dyDescent="0.35">
      <c r="B13" s="80">
        <v>10</v>
      </c>
      <c r="C13" s="81" t="s">
        <v>17</v>
      </c>
      <c r="D13" s="111" t="s">
        <v>18</v>
      </c>
      <c r="E13" s="112"/>
      <c r="F13" s="112"/>
      <c r="G13" s="113"/>
    </row>
    <row r="14" spans="2:10" ht="16.2" thickBot="1" x14ac:dyDescent="0.35">
      <c r="B14" s="80">
        <v>11</v>
      </c>
      <c r="C14" s="81" t="s">
        <v>19</v>
      </c>
      <c r="D14" s="114">
        <v>843</v>
      </c>
      <c r="E14" s="115"/>
      <c r="F14" s="115"/>
      <c r="G14" s="116"/>
    </row>
    <row r="15" spans="2:10" ht="16.2" thickBot="1" x14ac:dyDescent="0.35">
      <c r="B15" s="80">
        <v>12</v>
      </c>
      <c r="C15" s="81" t="s">
        <v>20</v>
      </c>
      <c r="D15" s="117" t="s">
        <v>21</v>
      </c>
      <c r="E15" s="118"/>
      <c r="F15" s="118"/>
      <c r="G15" s="119"/>
    </row>
    <row r="17" spans="3:3" ht="15.6" x14ac:dyDescent="0.3">
      <c r="C17" s="41" t="s">
        <v>193</v>
      </c>
    </row>
    <row r="18" spans="3:3" ht="15.6" x14ac:dyDescent="0.3">
      <c r="C18" s="41" t="s">
        <v>195</v>
      </c>
    </row>
    <row r="19" spans="3:3" ht="15.6" x14ac:dyDescent="0.3">
      <c r="C19" s="41" t="s">
        <v>194</v>
      </c>
    </row>
  </sheetData>
  <mergeCells count="5">
    <mergeCell ref="D12:G12"/>
    <mergeCell ref="D13:G13"/>
    <mergeCell ref="D14:G14"/>
    <mergeCell ref="D15:G15"/>
    <mergeCell ref="B2:G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34"/>
  <sheetViews>
    <sheetView topLeftCell="AC1" workbookViewId="0">
      <selection activeCell="AH5" sqref="AH5:AS9"/>
    </sheetView>
  </sheetViews>
  <sheetFormatPr defaultRowHeight="14.4" x14ac:dyDescent="0.3"/>
  <cols>
    <col min="3" max="3" width="8.88671875" bestFit="1" customWidth="1"/>
    <col min="9" max="9" width="6.88671875" bestFit="1" customWidth="1"/>
    <col min="10" max="10" width="8.33203125" customWidth="1"/>
    <col min="11" max="11" width="8.21875" customWidth="1"/>
    <col min="12" max="12" width="9.33203125" bestFit="1" customWidth="1"/>
    <col min="13" max="13" width="10.44140625" bestFit="1" customWidth="1"/>
    <col min="14" max="14" width="4.6640625" customWidth="1"/>
    <col min="15" max="15" width="6.88671875" bestFit="1" customWidth="1"/>
    <col min="17" max="17" width="8.21875" customWidth="1"/>
    <col min="18" max="18" width="9.33203125" bestFit="1" customWidth="1"/>
    <col min="19" max="19" width="10.44140625" bestFit="1" customWidth="1"/>
    <col min="20" max="20" width="3.5546875" customWidth="1"/>
    <col min="21" max="21" width="6.88671875" bestFit="1" customWidth="1"/>
    <col min="23" max="23" width="7.21875" customWidth="1"/>
    <col min="24" max="24" width="9.33203125" bestFit="1" customWidth="1"/>
    <col min="25" max="25" width="9" bestFit="1" customWidth="1"/>
    <col min="26" max="26" width="5.5546875" customWidth="1"/>
    <col min="27" max="27" width="6.88671875" bestFit="1" customWidth="1"/>
    <col min="29" max="29" width="7.6640625" customWidth="1"/>
    <col min="31" max="31" width="9" bestFit="1" customWidth="1"/>
    <col min="33" max="33" width="25.21875" bestFit="1" customWidth="1"/>
    <col min="34" max="34" width="8.88671875" bestFit="1" customWidth="1"/>
    <col min="35" max="36" width="10.44140625" bestFit="1" customWidth="1"/>
    <col min="37" max="37" width="8.88671875" bestFit="1" customWidth="1"/>
    <col min="38" max="43" width="10.44140625" bestFit="1" customWidth="1"/>
    <col min="44" max="44" width="8.88671875" bestFit="1" customWidth="1"/>
    <col min="45" max="45" width="10.44140625" bestFit="1" customWidth="1"/>
    <col min="48" max="48" width="6.88671875" bestFit="1" customWidth="1"/>
    <col min="49" max="49" width="8.33203125" customWidth="1"/>
    <col min="50" max="50" width="8.21875" customWidth="1"/>
    <col min="51" max="51" width="9.33203125" bestFit="1" customWidth="1"/>
    <col min="52" max="52" width="10.44140625" bestFit="1" customWidth="1"/>
    <col min="53" max="53" width="4.6640625" customWidth="1"/>
    <col min="54" max="54" width="6.88671875" bestFit="1" customWidth="1"/>
    <col min="56" max="56" width="8.21875" customWidth="1"/>
    <col min="57" max="57" width="9.33203125" bestFit="1" customWidth="1"/>
    <col min="58" max="58" width="10.44140625" bestFit="1" customWidth="1"/>
    <col min="59" max="59" width="3.5546875" customWidth="1"/>
    <col min="60" max="60" width="6.88671875" bestFit="1" customWidth="1"/>
    <col min="62" max="62" width="7.21875" customWidth="1"/>
    <col min="63" max="63" width="9.33203125" bestFit="1" customWidth="1"/>
    <col min="64" max="64" width="9" bestFit="1" customWidth="1"/>
    <col min="65" max="65" width="5.5546875" customWidth="1"/>
    <col min="66" max="66" width="6.88671875" bestFit="1" customWidth="1"/>
    <col min="68" max="68" width="7.6640625" customWidth="1"/>
    <col min="70" max="70" width="9" bestFit="1" customWidth="1"/>
  </cols>
  <sheetData>
    <row r="1" spans="2:70" x14ac:dyDescent="0.3">
      <c r="I1" s="147" t="s">
        <v>221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88"/>
      <c r="U1" s="147" t="s">
        <v>222</v>
      </c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G1" s="147" t="s">
        <v>232</v>
      </c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V1" s="153" t="s">
        <v>221</v>
      </c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H1" s="153" t="s">
        <v>222</v>
      </c>
      <c r="BI1" s="153"/>
      <c r="BJ1" s="153"/>
      <c r="BK1" s="153"/>
      <c r="BL1" s="153"/>
      <c r="BM1" s="153"/>
      <c r="BN1" s="153"/>
      <c r="BO1" s="153"/>
      <c r="BP1" s="153"/>
      <c r="BQ1" s="153"/>
      <c r="BR1" s="153"/>
    </row>
    <row r="2" spans="2:70" x14ac:dyDescent="0.3">
      <c r="B2" s="167" t="s">
        <v>120</v>
      </c>
      <c r="C2" s="167"/>
      <c r="D2" s="167"/>
      <c r="E2" s="167"/>
      <c r="F2" s="167"/>
      <c r="I2" s="147" t="s">
        <v>150</v>
      </c>
      <c r="J2" s="147"/>
      <c r="K2" s="147"/>
      <c r="L2" s="147"/>
      <c r="M2" s="147"/>
      <c r="N2" s="88"/>
      <c r="O2" s="147" t="s">
        <v>152</v>
      </c>
      <c r="P2" s="147"/>
      <c r="Q2" s="147"/>
      <c r="R2" s="147"/>
      <c r="S2" s="147"/>
      <c r="T2" s="88"/>
      <c r="U2" s="147" t="s">
        <v>146</v>
      </c>
      <c r="V2" s="147"/>
      <c r="W2" s="147"/>
      <c r="X2" s="147"/>
      <c r="Y2" s="147"/>
      <c r="Z2" s="103"/>
      <c r="AA2" s="147" t="s">
        <v>147</v>
      </c>
      <c r="AB2" s="147"/>
      <c r="AC2" s="147"/>
      <c r="AD2" s="147"/>
      <c r="AE2" s="147"/>
      <c r="AG2" s="147" t="s">
        <v>155</v>
      </c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V2" s="153" t="s">
        <v>150</v>
      </c>
      <c r="AW2" s="153"/>
      <c r="AX2" s="153"/>
      <c r="AY2" s="153"/>
      <c r="AZ2" s="153"/>
      <c r="BB2" s="153" t="s">
        <v>152</v>
      </c>
      <c r="BC2" s="153"/>
      <c r="BD2" s="153"/>
      <c r="BE2" s="153"/>
      <c r="BF2" s="153"/>
      <c r="BH2" s="153" t="s">
        <v>146</v>
      </c>
      <c r="BI2" s="153"/>
      <c r="BJ2" s="153"/>
      <c r="BK2" s="153"/>
      <c r="BL2" s="153"/>
      <c r="BM2" s="27"/>
      <c r="BN2" s="153" t="s">
        <v>147</v>
      </c>
      <c r="BO2" s="153"/>
      <c r="BP2" s="153"/>
      <c r="BQ2" s="153"/>
      <c r="BR2" s="153"/>
    </row>
    <row r="3" spans="2:70" x14ac:dyDescent="0.3">
      <c r="B3" s="167" t="s">
        <v>117</v>
      </c>
      <c r="C3" s="167"/>
      <c r="D3" s="167"/>
      <c r="E3" s="167"/>
      <c r="F3" s="167"/>
      <c r="I3" s="161" t="s">
        <v>148</v>
      </c>
      <c r="J3" s="161"/>
      <c r="K3" s="161"/>
      <c r="L3" s="161"/>
      <c r="M3" s="161"/>
      <c r="N3" s="88"/>
      <c r="O3" s="161" t="s">
        <v>148</v>
      </c>
      <c r="P3" s="161"/>
      <c r="Q3" s="161"/>
      <c r="R3" s="161"/>
      <c r="S3" s="161"/>
      <c r="T3" s="88"/>
      <c r="U3" s="161" t="s">
        <v>154</v>
      </c>
      <c r="V3" s="161"/>
      <c r="W3" s="161"/>
      <c r="X3" s="161"/>
      <c r="Y3" s="161"/>
      <c r="Z3" s="103"/>
      <c r="AA3" s="161" t="s">
        <v>154</v>
      </c>
      <c r="AB3" s="161"/>
      <c r="AC3" s="161"/>
      <c r="AD3" s="161"/>
      <c r="AE3" s="161"/>
      <c r="AG3" s="148" t="s">
        <v>131</v>
      </c>
      <c r="AH3" s="149" t="s">
        <v>217</v>
      </c>
      <c r="AI3" s="149"/>
      <c r="AJ3" s="149"/>
      <c r="AK3" s="149" t="s">
        <v>215</v>
      </c>
      <c r="AL3" s="149"/>
      <c r="AM3" s="149"/>
      <c r="AN3" s="149" t="s">
        <v>216</v>
      </c>
      <c r="AO3" s="149"/>
      <c r="AP3" s="149"/>
      <c r="AQ3" s="149" t="s">
        <v>126</v>
      </c>
      <c r="AR3" s="149"/>
      <c r="AS3" s="149"/>
      <c r="AV3" s="171" t="s">
        <v>148</v>
      </c>
      <c r="AW3" s="171"/>
      <c r="AX3" s="171"/>
      <c r="AY3" s="171"/>
      <c r="AZ3" s="171"/>
      <c r="BB3" s="171" t="s">
        <v>148</v>
      </c>
      <c r="BC3" s="171"/>
      <c r="BD3" s="171"/>
      <c r="BE3" s="171"/>
      <c r="BF3" s="171"/>
      <c r="BH3" s="171" t="s">
        <v>154</v>
      </c>
      <c r="BI3" s="171"/>
      <c r="BJ3" s="171"/>
      <c r="BK3" s="171"/>
      <c r="BL3" s="171"/>
      <c r="BM3" s="27"/>
      <c r="BN3" s="171" t="s">
        <v>154</v>
      </c>
      <c r="BO3" s="171"/>
      <c r="BP3" s="171"/>
      <c r="BQ3" s="171"/>
      <c r="BR3" s="171"/>
    </row>
    <row r="4" spans="2:70" x14ac:dyDescent="0.3">
      <c r="B4" s="166" t="s">
        <v>91</v>
      </c>
      <c r="C4" s="167" t="s">
        <v>92</v>
      </c>
      <c r="D4" s="167"/>
      <c r="E4" s="167"/>
      <c r="F4" s="167"/>
      <c r="I4" s="148" t="s">
        <v>91</v>
      </c>
      <c r="J4" s="159" t="s">
        <v>142</v>
      </c>
      <c r="K4" s="159" t="s">
        <v>143</v>
      </c>
      <c r="L4" s="159" t="s">
        <v>144</v>
      </c>
      <c r="M4" s="159" t="s">
        <v>145</v>
      </c>
      <c r="N4" s="88"/>
      <c r="O4" s="148" t="s">
        <v>91</v>
      </c>
      <c r="P4" s="159" t="s">
        <v>142</v>
      </c>
      <c r="Q4" s="159" t="s">
        <v>143</v>
      </c>
      <c r="R4" s="159" t="s">
        <v>144</v>
      </c>
      <c r="S4" s="159" t="s">
        <v>145</v>
      </c>
      <c r="T4" s="88"/>
      <c r="U4" s="148" t="s">
        <v>91</v>
      </c>
      <c r="V4" s="159" t="s">
        <v>142</v>
      </c>
      <c r="W4" s="159" t="s">
        <v>143</v>
      </c>
      <c r="X4" s="159" t="s">
        <v>144</v>
      </c>
      <c r="Y4" s="159" t="s">
        <v>145</v>
      </c>
      <c r="Z4" s="88"/>
      <c r="AA4" s="148" t="s">
        <v>91</v>
      </c>
      <c r="AB4" s="159" t="s">
        <v>142</v>
      </c>
      <c r="AC4" s="159" t="s">
        <v>143</v>
      </c>
      <c r="AD4" s="159" t="s">
        <v>144</v>
      </c>
      <c r="AE4" s="159" t="s">
        <v>145</v>
      </c>
      <c r="AG4" s="148" t="s">
        <v>131</v>
      </c>
      <c r="AH4" s="102" t="s">
        <v>3</v>
      </c>
      <c r="AI4" s="102" t="s">
        <v>4</v>
      </c>
      <c r="AJ4" s="102" t="s">
        <v>5</v>
      </c>
      <c r="AK4" s="102" t="s">
        <v>3</v>
      </c>
      <c r="AL4" s="102" t="s">
        <v>4</v>
      </c>
      <c r="AM4" s="102" t="s">
        <v>5</v>
      </c>
      <c r="AN4" s="102" t="s">
        <v>3</v>
      </c>
      <c r="AO4" s="102" t="s">
        <v>4</v>
      </c>
      <c r="AP4" s="102" t="s">
        <v>5</v>
      </c>
      <c r="AQ4" s="102" t="s">
        <v>3</v>
      </c>
      <c r="AR4" s="102" t="s">
        <v>4</v>
      </c>
      <c r="AS4" s="102" t="s">
        <v>5</v>
      </c>
      <c r="AV4" s="154" t="s">
        <v>91</v>
      </c>
      <c r="AW4" s="170" t="s">
        <v>142</v>
      </c>
      <c r="AX4" s="170" t="s">
        <v>143</v>
      </c>
      <c r="AY4" s="170" t="s">
        <v>144</v>
      </c>
      <c r="AZ4" s="170" t="s">
        <v>145</v>
      </c>
      <c r="BB4" s="154" t="s">
        <v>91</v>
      </c>
      <c r="BC4" s="170" t="s">
        <v>142</v>
      </c>
      <c r="BD4" s="170" t="s">
        <v>143</v>
      </c>
      <c r="BE4" s="170" t="s">
        <v>144</v>
      </c>
      <c r="BF4" s="170" t="s">
        <v>145</v>
      </c>
      <c r="BH4" s="154" t="s">
        <v>91</v>
      </c>
      <c r="BI4" s="170" t="s">
        <v>142</v>
      </c>
      <c r="BJ4" s="170" t="s">
        <v>143</v>
      </c>
      <c r="BK4" s="170" t="s">
        <v>144</v>
      </c>
      <c r="BL4" s="170" t="s">
        <v>145</v>
      </c>
      <c r="BN4" s="154" t="s">
        <v>91</v>
      </c>
      <c r="BO4" s="170" t="s">
        <v>142</v>
      </c>
      <c r="BP4" s="170" t="s">
        <v>143</v>
      </c>
      <c r="BQ4" s="170" t="s">
        <v>144</v>
      </c>
      <c r="BR4" s="170" t="s">
        <v>145</v>
      </c>
    </row>
    <row r="5" spans="2:70" x14ac:dyDescent="0.3">
      <c r="B5" s="166"/>
      <c r="C5" s="44" t="s">
        <v>114</v>
      </c>
      <c r="D5" s="44" t="s">
        <v>115</v>
      </c>
      <c r="E5" s="44" t="s">
        <v>121</v>
      </c>
      <c r="F5" s="44" t="s">
        <v>122</v>
      </c>
      <c r="I5" s="148"/>
      <c r="J5" s="159"/>
      <c r="K5" s="159" t="s">
        <v>116</v>
      </c>
      <c r="L5" s="159" t="s">
        <v>125</v>
      </c>
      <c r="M5" s="159"/>
      <c r="N5" s="88"/>
      <c r="O5" s="148"/>
      <c r="P5" s="159"/>
      <c r="Q5" s="159" t="s">
        <v>116</v>
      </c>
      <c r="R5" s="159" t="s">
        <v>125</v>
      </c>
      <c r="S5" s="159"/>
      <c r="T5" s="88"/>
      <c r="U5" s="148"/>
      <c r="V5" s="159"/>
      <c r="W5" s="159" t="s">
        <v>116</v>
      </c>
      <c r="X5" s="159" t="s">
        <v>125</v>
      </c>
      <c r="Y5" s="159"/>
      <c r="Z5" s="88"/>
      <c r="AA5" s="148"/>
      <c r="AB5" s="159"/>
      <c r="AC5" s="159" t="s">
        <v>116</v>
      </c>
      <c r="AD5" s="159" t="s">
        <v>125</v>
      </c>
      <c r="AE5" s="159"/>
      <c r="AG5" s="92" t="s">
        <v>158</v>
      </c>
      <c r="AH5" s="97">
        <f>M6</f>
        <v>229819.02050603248</v>
      </c>
      <c r="AI5" s="97">
        <v>0</v>
      </c>
      <c r="AJ5" s="97">
        <f>AH5+AI5</f>
        <v>229819.02050603248</v>
      </c>
      <c r="AK5" s="97">
        <f>M7</f>
        <v>439623.73916457902</v>
      </c>
      <c r="AL5" s="97">
        <v>0</v>
      </c>
      <c r="AM5" s="97">
        <f>AK5+AL5</f>
        <v>439623.73916457902</v>
      </c>
      <c r="AN5" s="97">
        <f>M8</f>
        <v>561180.95109240245</v>
      </c>
      <c r="AO5" s="97">
        <v>0</v>
      </c>
      <c r="AP5" s="97">
        <f>AN5+AO5</f>
        <v>561180.95109240245</v>
      </c>
      <c r="AQ5" s="97">
        <f>AN5+AK5+AH5</f>
        <v>1230623.7107630139</v>
      </c>
      <c r="AR5" s="97">
        <f>AO5+AL5+AI5</f>
        <v>0</v>
      </c>
      <c r="AS5" s="97">
        <f>AP5+AM5+AJ5</f>
        <v>1230623.7107630139</v>
      </c>
      <c r="AT5" s="19">
        <f>AQ5-M10</f>
        <v>0</v>
      </c>
      <c r="AV5" s="154"/>
      <c r="AW5" s="170"/>
      <c r="AX5" s="170" t="s">
        <v>116</v>
      </c>
      <c r="AY5" s="170" t="s">
        <v>125</v>
      </c>
      <c r="AZ5" s="170"/>
      <c r="BB5" s="154"/>
      <c r="BC5" s="170"/>
      <c r="BD5" s="170" t="s">
        <v>116</v>
      </c>
      <c r="BE5" s="170" t="s">
        <v>125</v>
      </c>
      <c r="BF5" s="170"/>
      <c r="BH5" s="154"/>
      <c r="BI5" s="170"/>
      <c r="BJ5" s="170" t="s">
        <v>116</v>
      </c>
      <c r="BK5" s="170" t="s">
        <v>125</v>
      </c>
      <c r="BL5" s="170"/>
      <c r="BN5" s="154"/>
      <c r="BO5" s="170"/>
      <c r="BP5" s="170" t="s">
        <v>116</v>
      </c>
      <c r="BQ5" s="170" t="s">
        <v>125</v>
      </c>
      <c r="BR5" s="170"/>
    </row>
    <row r="6" spans="2:70" x14ac:dyDescent="0.3">
      <c r="B6" s="76">
        <f>'Quadros 8.4.1 a 8.4.4'!T26</f>
        <v>2018</v>
      </c>
      <c r="C6" s="76">
        <f>'Quadros 8.4.1 a 8.4.4'!U26</f>
        <v>1419.7161498988762</v>
      </c>
      <c r="D6" s="76">
        <f>'Quadros 8.4.1 a 8.4.4'!V26</f>
        <v>2905.0872721483042</v>
      </c>
      <c r="E6" s="76">
        <f>'Quadros 8.4.1 a 8.4.4'!W26</f>
        <v>1835.30208209785</v>
      </c>
      <c r="F6" s="76">
        <f>'Quadros 8.4.1 a 8.4.4'!X26</f>
        <v>415.58593219897375</v>
      </c>
      <c r="I6" s="63">
        <f>B6</f>
        <v>2018</v>
      </c>
      <c r="J6" s="62">
        <f>E6</f>
        <v>1835.30208209785</v>
      </c>
      <c r="K6" s="62">
        <f>F6/2</f>
        <v>207.79296609948688</v>
      </c>
      <c r="L6" s="54">
        <f>1580*0.7</f>
        <v>1106</v>
      </c>
      <c r="M6" s="63">
        <f>K6*L6</f>
        <v>229819.02050603248</v>
      </c>
      <c r="N6" s="88"/>
      <c r="O6" s="63">
        <f>I6</f>
        <v>2018</v>
      </c>
      <c r="P6" s="63">
        <f>J6</f>
        <v>1835.30208209785</v>
      </c>
      <c r="Q6" s="62">
        <f>P8*0.1/2</f>
        <v>182.25377411004456</v>
      </c>
      <c r="R6" s="54">
        <f>L6</f>
        <v>1106</v>
      </c>
      <c r="S6" s="63">
        <f>Q6*R6</f>
        <v>201572.67416570929</v>
      </c>
      <c r="T6" s="88"/>
      <c r="U6" s="63">
        <f>O6</f>
        <v>2018</v>
      </c>
      <c r="V6" s="62">
        <f>P6</f>
        <v>1835.30208209785</v>
      </c>
      <c r="W6" s="62">
        <f>K6</f>
        <v>207.79296609948688</v>
      </c>
      <c r="X6" s="54">
        <v>200</v>
      </c>
      <c r="Y6" s="63">
        <f>W6*X6</f>
        <v>41558.593219897375</v>
      </c>
      <c r="Z6" s="88"/>
      <c r="AA6" s="63">
        <f>U6</f>
        <v>2018</v>
      </c>
      <c r="AB6" s="63">
        <f>V6</f>
        <v>1835.30208209785</v>
      </c>
      <c r="AC6" s="62">
        <f>AB8*0.1</f>
        <v>364.50754822008912</v>
      </c>
      <c r="AD6" s="54">
        <f>X6</f>
        <v>200</v>
      </c>
      <c r="AE6" s="63">
        <f>AC6*AD6</f>
        <v>72901.509644017817</v>
      </c>
      <c r="AG6" s="92" t="s">
        <v>159</v>
      </c>
      <c r="AH6" s="97">
        <f>M17</f>
        <v>218182.61440446123</v>
      </c>
      <c r="AI6" s="97">
        <f>M28</f>
        <v>126885.59908287747</v>
      </c>
      <c r="AJ6" s="97">
        <f t="shared" ref="AJ6:AJ8" si="0">AH6+AI6</f>
        <v>345068.21348733868</v>
      </c>
      <c r="AK6" s="97">
        <f>M18</f>
        <v>417364.3093334611</v>
      </c>
      <c r="AL6" s="97">
        <f>M29</f>
        <v>225201.66086426339</v>
      </c>
      <c r="AM6" s="97">
        <f t="shared" ref="AM6:AM8" si="1">AK6+AL6</f>
        <v>642565.97019772453</v>
      </c>
      <c r="AN6" s="97">
        <f>M19</f>
        <v>532766.72572063527</v>
      </c>
      <c r="AO6" s="97">
        <f>M30</f>
        <v>256394.86593886651</v>
      </c>
      <c r="AP6" s="97">
        <f t="shared" ref="AP6:AP8" si="2">AN6+AO6</f>
        <v>789161.59165950178</v>
      </c>
      <c r="AQ6" s="97">
        <f t="shared" ref="AQ6:AS7" si="3">AN6+AK6+AH6</f>
        <v>1168313.6494585576</v>
      </c>
      <c r="AR6" s="97">
        <f t="shared" si="3"/>
        <v>608482.12588600744</v>
      </c>
      <c r="AS6" s="97">
        <f t="shared" si="3"/>
        <v>1776795.775344565</v>
      </c>
      <c r="AT6" s="19">
        <f>AQ6-M21</f>
        <v>0</v>
      </c>
      <c r="AU6" s="19">
        <f>AR6-M32</f>
        <v>0</v>
      </c>
      <c r="AV6" s="22"/>
      <c r="AW6" s="22"/>
      <c r="AX6" s="22"/>
      <c r="AY6" s="22"/>
      <c r="AZ6" s="22"/>
      <c r="BB6" s="22"/>
      <c r="BC6" s="22"/>
      <c r="BD6" s="22"/>
      <c r="BE6" s="22"/>
      <c r="BF6" s="22"/>
      <c r="BH6" s="22"/>
      <c r="BI6" s="22"/>
      <c r="BJ6" s="22"/>
      <c r="BK6" s="22"/>
      <c r="BL6" s="22"/>
      <c r="BN6" s="22"/>
      <c r="BO6" s="22"/>
      <c r="BP6" s="22"/>
      <c r="BQ6" s="22"/>
      <c r="BR6" s="22"/>
    </row>
    <row r="7" spans="2:70" x14ac:dyDescent="0.3">
      <c r="B7" s="76">
        <f>'Quadros 8.4.1 a 8.4.4'!T27</f>
        <v>2023</v>
      </c>
      <c r="C7" s="76">
        <f>'Quadros 8.4.1 a 8.4.4'!U27</f>
        <v>1835.30208209785</v>
      </c>
      <c r="D7" s="76">
        <f>'Quadros 8.4.1 a 8.4.4'!V27</f>
        <v>3058.8368034964165</v>
      </c>
      <c r="E7" s="76">
        <f>'Quadros 8.4.1 a 8.4.4'!W27</f>
        <v>2630.2817189234902</v>
      </c>
      <c r="F7" s="76">
        <f>'Quadros 8.4.1 a 8.4.4'!X27</f>
        <v>794.97963682564023</v>
      </c>
      <c r="I7" s="63">
        <f>I6+5</f>
        <v>2023</v>
      </c>
      <c r="J7" s="62">
        <f>E7</f>
        <v>2630.2817189234902</v>
      </c>
      <c r="K7" s="62">
        <f>F7/2</f>
        <v>397.48981841282011</v>
      </c>
      <c r="L7" s="54">
        <f>L6</f>
        <v>1106</v>
      </c>
      <c r="M7" s="63">
        <f>K7*L7</f>
        <v>439623.73916457902</v>
      </c>
      <c r="N7" s="88"/>
      <c r="O7" s="63">
        <f>O6+5</f>
        <v>2023</v>
      </c>
      <c r="P7" s="63">
        <f>J7</f>
        <v>2630.2817189234902</v>
      </c>
      <c r="Q7" s="62">
        <f>P8*0.1/2</f>
        <v>182.25377411004456</v>
      </c>
      <c r="R7" s="54">
        <f>L7</f>
        <v>1106</v>
      </c>
      <c r="S7" s="63">
        <f>Q7*R7</f>
        <v>201572.67416570929</v>
      </c>
      <c r="T7" s="88"/>
      <c r="U7" s="63">
        <f>U6+5</f>
        <v>2023</v>
      </c>
      <c r="V7" s="62">
        <f>P7</f>
        <v>2630.2817189234902</v>
      </c>
      <c r="W7" s="62">
        <f>K7</f>
        <v>397.48981841282011</v>
      </c>
      <c r="X7" s="54">
        <f>X6</f>
        <v>200</v>
      </c>
      <c r="Y7" s="63">
        <f>W7*X7</f>
        <v>79497.963682564019</v>
      </c>
      <c r="Z7" s="88"/>
      <c r="AA7" s="63">
        <f>AA6+5</f>
        <v>2023</v>
      </c>
      <c r="AB7" s="63">
        <f>V7</f>
        <v>2630.2817189234902</v>
      </c>
      <c r="AC7" s="62">
        <f>AB8*0.1</f>
        <v>364.50754822008912</v>
      </c>
      <c r="AD7" s="54">
        <f>X7</f>
        <v>200</v>
      </c>
      <c r="AE7" s="63">
        <f>AC7*AD7</f>
        <v>72901.509644017817</v>
      </c>
      <c r="AG7" s="92" t="s">
        <v>160</v>
      </c>
      <c r="AH7" s="97">
        <f>Y6</f>
        <v>41558.593219897375</v>
      </c>
      <c r="AI7" s="97">
        <f>M37</f>
        <v>0</v>
      </c>
      <c r="AJ7" s="97">
        <f t="shared" si="0"/>
        <v>41558.593219897375</v>
      </c>
      <c r="AK7" s="97">
        <f>Y7</f>
        <v>79497.963682564019</v>
      </c>
      <c r="AL7" s="97">
        <f>M38</f>
        <v>0</v>
      </c>
      <c r="AM7" s="97">
        <f t="shared" si="1"/>
        <v>79497.963682564019</v>
      </c>
      <c r="AN7" s="97">
        <f>Y8</f>
        <v>101479.37632774006</v>
      </c>
      <c r="AO7" s="97">
        <f>M39</f>
        <v>0</v>
      </c>
      <c r="AP7" s="97">
        <f t="shared" si="2"/>
        <v>101479.37632774006</v>
      </c>
      <c r="AQ7" s="97">
        <f t="shared" si="3"/>
        <v>222535.93323020142</v>
      </c>
      <c r="AR7" s="97">
        <f t="shared" si="3"/>
        <v>0</v>
      </c>
      <c r="AS7" s="97">
        <f t="shared" si="3"/>
        <v>222535.93323020142</v>
      </c>
      <c r="AT7" s="19">
        <f>AS7-Y10</f>
        <v>0</v>
      </c>
      <c r="AV7" s="22"/>
      <c r="AW7" s="22"/>
      <c r="AX7" s="22"/>
      <c r="AY7" s="22"/>
      <c r="AZ7" s="22"/>
      <c r="BB7" s="22"/>
      <c r="BC7" s="22"/>
      <c r="BD7" s="22"/>
      <c r="BE7" s="22"/>
      <c r="BF7" s="22"/>
      <c r="BH7" s="22"/>
      <c r="BI7" s="22"/>
      <c r="BJ7" s="22"/>
      <c r="BK7" s="22"/>
      <c r="BL7" s="22"/>
      <c r="BN7" s="22"/>
      <c r="BO7" s="22"/>
      <c r="BP7" s="22"/>
      <c r="BQ7" s="22"/>
      <c r="BR7" s="22"/>
    </row>
    <row r="8" spans="2:70" x14ac:dyDescent="0.3">
      <c r="B8" s="76">
        <f>'Quadros 8.4.1 a 8.4.4'!T28</f>
        <v>2028</v>
      </c>
      <c r="C8" s="76">
        <f>'Quadros 8.4.1 a 8.4.4'!U28</f>
        <v>2630.2817189234902</v>
      </c>
      <c r="D8" s="76">
        <f>'Quadros 8.4.1 a 8.4.4'!V28</f>
        <v>3287.8521486543632</v>
      </c>
      <c r="E8" s="76">
        <f>'Quadros 8.4.1 a 8.4.4'!W28</f>
        <v>3645.0754822008907</v>
      </c>
      <c r="F8" s="76">
        <f>'Quadros 8.4.1 a 8.4.4'!X28</f>
        <v>1014.7937632774006</v>
      </c>
      <c r="I8" s="63">
        <f>I7+5</f>
        <v>2028</v>
      </c>
      <c r="J8" s="62">
        <f>E8</f>
        <v>3645.0754822008907</v>
      </c>
      <c r="K8" s="62">
        <f>F8/2</f>
        <v>507.39688163870028</v>
      </c>
      <c r="L8" s="54">
        <f>L7</f>
        <v>1106</v>
      </c>
      <c r="M8" s="63">
        <f>K8*L8</f>
        <v>561180.95109240245</v>
      </c>
      <c r="N8" s="88"/>
      <c r="O8" s="63">
        <f>O7+5</f>
        <v>2028</v>
      </c>
      <c r="P8" s="63">
        <f>J8</f>
        <v>3645.0754822008907</v>
      </c>
      <c r="Q8" s="62">
        <f>P8*0.2/2</f>
        <v>364.50754822008912</v>
      </c>
      <c r="R8" s="54">
        <f>L8</f>
        <v>1106</v>
      </c>
      <c r="S8" s="63">
        <f>Q8*R8</f>
        <v>403145.34833141859</v>
      </c>
      <c r="T8" s="88"/>
      <c r="U8" s="63">
        <f>U7+5</f>
        <v>2028</v>
      </c>
      <c r="V8" s="62">
        <f>P8</f>
        <v>3645.0754822008907</v>
      </c>
      <c r="W8" s="62">
        <f>K8</f>
        <v>507.39688163870028</v>
      </c>
      <c r="X8" s="54">
        <f>X7</f>
        <v>200</v>
      </c>
      <c r="Y8" s="63">
        <f>W8*X8</f>
        <v>101479.37632774006</v>
      </c>
      <c r="Z8" s="88"/>
      <c r="AA8" s="63">
        <f>AA7+5</f>
        <v>2028</v>
      </c>
      <c r="AB8" s="63">
        <f>V8</f>
        <v>3645.0754822008907</v>
      </c>
      <c r="AC8" s="62">
        <f>AB8*0.2</f>
        <v>729.01509644017824</v>
      </c>
      <c r="AD8" s="54">
        <f>X8</f>
        <v>200</v>
      </c>
      <c r="AE8" s="63">
        <f>AC8*AD8</f>
        <v>145803.01928803563</v>
      </c>
      <c r="AG8" s="92" t="s">
        <v>250</v>
      </c>
      <c r="AH8" s="97"/>
      <c r="AI8" s="97"/>
      <c r="AJ8" s="97">
        <f t="shared" si="0"/>
        <v>0</v>
      </c>
      <c r="AK8" s="97"/>
      <c r="AL8" s="97"/>
      <c r="AM8" s="97">
        <f t="shared" si="1"/>
        <v>0</v>
      </c>
      <c r="AN8" s="97"/>
      <c r="AO8" s="97"/>
      <c r="AP8" s="97">
        <f t="shared" si="2"/>
        <v>0</v>
      </c>
      <c r="AQ8" s="97">
        <f t="shared" ref="AQ8" si="4">AN8+AK8+AH8</f>
        <v>0</v>
      </c>
      <c r="AR8" s="97">
        <f t="shared" ref="AR8" si="5">AO8+AL8+AI8</f>
        <v>0</v>
      </c>
      <c r="AS8" s="97">
        <f t="shared" ref="AS8" si="6">AP8+AM8+AJ8</f>
        <v>0</v>
      </c>
      <c r="AV8" s="22"/>
      <c r="AW8" s="22"/>
      <c r="AX8" s="22"/>
      <c r="AY8" s="22"/>
      <c r="AZ8" s="22"/>
      <c r="BB8" s="22"/>
      <c r="BC8" s="22"/>
      <c r="BD8" s="22"/>
      <c r="BE8" s="22"/>
      <c r="BF8" s="22"/>
      <c r="BH8" s="22"/>
      <c r="BI8" s="22"/>
      <c r="BJ8" s="22"/>
      <c r="BK8" s="22"/>
      <c r="BL8" s="22"/>
      <c r="BN8" s="22"/>
      <c r="BO8" s="22"/>
      <c r="BP8" s="22"/>
      <c r="BQ8" s="22"/>
      <c r="BR8" s="22"/>
    </row>
    <row r="9" spans="2:70" x14ac:dyDescent="0.3">
      <c r="B9" s="76">
        <f>'Quadros 8.4.1 a 8.4.4'!T29</f>
        <v>2038</v>
      </c>
      <c r="C9" s="76">
        <f>'Quadros 8.4.1 a 8.4.4'!U29</f>
        <v>3645.0754822008907</v>
      </c>
      <c r="D9" s="76">
        <f>'Quadros 8.4.1 a 8.4.4'!V29</f>
        <v>3645.0754822008907</v>
      </c>
      <c r="E9" s="76">
        <f>'Quadros 8.4.1 a 8.4.4'!W29</f>
        <v>3645.0754822008907</v>
      </c>
      <c r="F9" s="76">
        <f>'Quadros 8.4.1 a 8.4.4'!X29</f>
        <v>0</v>
      </c>
      <c r="I9" s="63">
        <f>I8+10</f>
        <v>2038</v>
      </c>
      <c r="J9" s="60"/>
      <c r="K9" s="60"/>
      <c r="L9" s="60"/>
      <c r="M9" s="60"/>
      <c r="N9" s="88"/>
      <c r="O9" s="63">
        <f>O8+10</f>
        <v>2038</v>
      </c>
      <c r="P9" s="60"/>
      <c r="Q9" s="60"/>
      <c r="R9" s="60"/>
      <c r="S9" s="60"/>
      <c r="T9" s="88"/>
      <c r="U9" s="63">
        <f>U8+10</f>
        <v>2038</v>
      </c>
      <c r="V9" s="60"/>
      <c r="W9" s="60"/>
      <c r="X9" s="60"/>
      <c r="Y9" s="60"/>
      <c r="Z9" s="88"/>
      <c r="AA9" s="63">
        <f>AA8+10</f>
        <v>2038</v>
      </c>
      <c r="AB9" s="60"/>
      <c r="AC9" s="60"/>
      <c r="AD9" s="60"/>
      <c r="AE9" s="60"/>
      <c r="AG9" s="92" t="s">
        <v>126</v>
      </c>
      <c r="AH9" s="106">
        <f t="shared" ref="AH9:AS9" si="7">SUM(AH5:AH8)</f>
        <v>489560.2281303911</v>
      </c>
      <c r="AI9" s="106">
        <f t="shared" si="7"/>
        <v>126885.59908287747</v>
      </c>
      <c r="AJ9" s="106">
        <f t="shared" si="7"/>
        <v>616445.82721326849</v>
      </c>
      <c r="AK9" s="106">
        <f t="shared" si="7"/>
        <v>936486.01218060404</v>
      </c>
      <c r="AL9" s="106">
        <f t="shared" si="7"/>
        <v>225201.66086426339</v>
      </c>
      <c r="AM9" s="106">
        <f t="shared" si="7"/>
        <v>1161687.6730448676</v>
      </c>
      <c r="AN9" s="106">
        <f t="shared" si="7"/>
        <v>1195427.0531407776</v>
      </c>
      <c r="AO9" s="106">
        <f t="shared" si="7"/>
        <v>256394.86593886651</v>
      </c>
      <c r="AP9" s="106">
        <f t="shared" si="7"/>
        <v>1451821.9190796441</v>
      </c>
      <c r="AQ9" s="106">
        <f t="shared" si="7"/>
        <v>2621473.2934517725</v>
      </c>
      <c r="AR9" s="106">
        <f t="shared" si="7"/>
        <v>608482.12588600744</v>
      </c>
      <c r="AS9" s="106">
        <f t="shared" si="7"/>
        <v>3229955.4193377802</v>
      </c>
      <c r="AT9" s="19">
        <f>AS9-Y10-M10-M21-M32</f>
        <v>0</v>
      </c>
      <c r="AV9" s="22"/>
      <c r="AW9" s="22"/>
      <c r="AX9" s="22"/>
      <c r="AY9" s="22"/>
      <c r="AZ9" s="22"/>
      <c r="BB9" s="22"/>
      <c r="BC9" s="22"/>
      <c r="BD9" s="22"/>
      <c r="BE9" s="22"/>
      <c r="BF9" s="22"/>
      <c r="BH9" s="22"/>
      <c r="BI9" s="22"/>
      <c r="BJ9" s="22"/>
      <c r="BK9" s="22"/>
      <c r="BL9" s="22"/>
      <c r="BN9" s="22"/>
      <c r="BO9" s="22"/>
      <c r="BP9" s="22"/>
      <c r="BQ9" s="22"/>
      <c r="BR9" s="22"/>
    </row>
    <row r="10" spans="2:70" x14ac:dyDescent="0.3">
      <c r="B10" s="44"/>
      <c r="C10" s="44"/>
      <c r="D10" s="44"/>
      <c r="E10" s="44"/>
      <c r="F10" s="44"/>
      <c r="G10" s="19">
        <f>C6+F6+F7+F8</f>
        <v>3645.0754822008907</v>
      </c>
      <c r="I10" s="60" t="s">
        <v>126</v>
      </c>
      <c r="J10" s="60"/>
      <c r="K10" s="60"/>
      <c r="L10" s="60"/>
      <c r="M10" s="63">
        <f>SUM(M6:M9)</f>
        <v>1230623.7107630139</v>
      </c>
      <c r="N10" s="88"/>
      <c r="O10" s="60" t="s">
        <v>126</v>
      </c>
      <c r="P10" s="60"/>
      <c r="Q10" s="60"/>
      <c r="R10" s="60"/>
      <c r="S10" s="63">
        <f>SUM(S6:S9)</f>
        <v>806290.69666283717</v>
      </c>
      <c r="T10" s="88"/>
      <c r="U10" s="60" t="s">
        <v>126</v>
      </c>
      <c r="V10" s="60"/>
      <c r="W10" s="60">
        <f>SUM(W6:W9)</f>
        <v>1112.6796661510073</v>
      </c>
      <c r="X10" s="60"/>
      <c r="Y10" s="63">
        <f>SUM(Y6:Y9)</f>
        <v>222535.93323020145</v>
      </c>
      <c r="Z10" s="88"/>
      <c r="AA10" s="60" t="s">
        <v>126</v>
      </c>
      <c r="AB10" s="60"/>
      <c r="AC10" s="60"/>
      <c r="AD10" s="60"/>
      <c r="AE10" s="63">
        <f>SUM(AE6:AE9)</f>
        <v>291606.03857607127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V10" s="21" t="s">
        <v>126</v>
      </c>
      <c r="AW10" s="21"/>
      <c r="AX10" s="22"/>
      <c r="AY10" s="21"/>
      <c r="AZ10" s="22"/>
      <c r="BB10" s="21" t="s">
        <v>126</v>
      </c>
      <c r="BC10" s="21"/>
      <c r="BD10" s="21"/>
      <c r="BE10" s="21"/>
      <c r="BF10" s="22"/>
      <c r="BH10" s="21" t="s">
        <v>126</v>
      </c>
      <c r="BI10" s="21"/>
      <c r="BJ10" s="22"/>
      <c r="BK10" s="21"/>
      <c r="BL10" s="22"/>
      <c r="BN10" s="21" t="s">
        <v>126</v>
      </c>
      <c r="BO10" s="21"/>
      <c r="BP10" s="22"/>
      <c r="BQ10" s="21"/>
      <c r="BR10" s="22"/>
    </row>
    <row r="11" spans="2:70" x14ac:dyDescent="0.3">
      <c r="G11" s="19"/>
      <c r="I11" s="30"/>
      <c r="J11" s="30"/>
      <c r="K11" s="30"/>
      <c r="L11" s="30"/>
      <c r="M11" s="31"/>
      <c r="N11" s="88"/>
      <c r="O11" s="30"/>
      <c r="P11" s="30"/>
      <c r="Q11" s="30"/>
      <c r="R11" s="30"/>
      <c r="S11" s="31"/>
      <c r="AG11" s="147" t="s">
        <v>156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V11" s="30"/>
      <c r="AW11" s="30"/>
      <c r="AX11" s="30"/>
      <c r="AY11" s="30"/>
      <c r="AZ11" s="31"/>
      <c r="BB11" s="30"/>
      <c r="BC11" s="30"/>
      <c r="BD11" s="30"/>
      <c r="BE11" s="30"/>
      <c r="BF11" s="31"/>
    </row>
    <row r="12" spans="2:70" x14ac:dyDescent="0.3">
      <c r="G12" s="19"/>
      <c r="I12" s="147" t="s">
        <v>223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U12" s="19"/>
      <c r="W12" s="19"/>
      <c r="AG12" s="148" t="s">
        <v>131</v>
      </c>
      <c r="AH12" s="149" t="s">
        <v>217</v>
      </c>
      <c r="AI12" s="149"/>
      <c r="AJ12" s="149"/>
      <c r="AK12" s="149" t="s">
        <v>215</v>
      </c>
      <c r="AL12" s="149"/>
      <c r="AM12" s="149"/>
      <c r="AN12" s="149" t="s">
        <v>216</v>
      </c>
      <c r="AO12" s="149"/>
      <c r="AP12" s="149"/>
      <c r="AQ12" s="149" t="s">
        <v>126</v>
      </c>
      <c r="AR12" s="149"/>
      <c r="AS12" s="149"/>
      <c r="AV12" s="153" t="s">
        <v>223</v>
      </c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H12" s="19"/>
      <c r="BJ12" s="19"/>
    </row>
    <row r="13" spans="2:70" ht="14.4" customHeight="1" x14ac:dyDescent="0.3">
      <c r="G13" s="19"/>
      <c r="I13" s="172" t="s">
        <v>150</v>
      </c>
      <c r="J13" s="172"/>
      <c r="K13" s="172"/>
      <c r="L13" s="172"/>
      <c r="M13" s="172"/>
      <c r="N13" s="103"/>
      <c r="O13" s="147" t="s">
        <v>152</v>
      </c>
      <c r="P13" s="147"/>
      <c r="Q13" s="147"/>
      <c r="R13" s="147"/>
      <c r="S13" s="147"/>
      <c r="AG13" s="148" t="s">
        <v>131</v>
      </c>
      <c r="AH13" s="102" t="s">
        <v>3</v>
      </c>
      <c r="AI13" s="102" t="s">
        <v>4</v>
      </c>
      <c r="AJ13" s="102" t="s">
        <v>5</v>
      </c>
      <c r="AK13" s="102" t="s">
        <v>3</v>
      </c>
      <c r="AL13" s="102" t="s">
        <v>4</v>
      </c>
      <c r="AM13" s="102" t="s">
        <v>5</v>
      </c>
      <c r="AN13" s="102" t="s">
        <v>3</v>
      </c>
      <c r="AO13" s="102" t="s">
        <v>4</v>
      </c>
      <c r="AP13" s="102" t="s">
        <v>5</v>
      </c>
      <c r="AQ13" s="102" t="s">
        <v>3</v>
      </c>
      <c r="AR13" s="102" t="s">
        <v>4</v>
      </c>
      <c r="AS13" s="102" t="s">
        <v>5</v>
      </c>
      <c r="AV13" s="173" t="s">
        <v>150</v>
      </c>
      <c r="AW13" s="173"/>
      <c r="AX13" s="173"/>
      <c r="AY13" s="173"/>
      <c r="AZ13" s="173"/>
      <c r="BA13" s="27"/>
      <c r="BB13" s="153" t="s">
        <v>152</v>
      </c>
      <c r="BC13" s="153"/>
      <c r="BD13" s="153"/>
      <c r="BE13" s="153"/>
      <c r="BF13" s="153"/>
    </row>
    <row r="14" spans="2:70" ht="14.4" customHeight="1" x14ac:dyDescent="0.3">
      <c r="G14" s="19"/>
      <c r="I14" s="161" t="s">
        <v>149</v>
      </c>
      <c r="J14" s="161"/>
      <c r="K14" s="161"/>
      <c r="L14" s="161"/>
      <c r="M14" s="161"/>
      <c r="N14" s="103"/>
      <c r="O14" s="161" t="s">
        <v>149</v>
      </c>
      <c r="P14" s="161"/>
      <c r="Q14" s="161"/>
      <c r="R14" s="161"/>
      <c r="S14" s="161"/>
      <c r="AG14" s="92" t="s">
        <v>158</v>
      </c>
      <c r="AH14" s="97">
        <f>S6</f>
        <v>201572.67416570929</v>
      </c>
      <c r="AI14" s="97">
        <v>0</v>
      </c>
      <c r="AJ14" s="97">
        <f>AH14+AI14</f>
        <v>201572.67416570929</v>
      </c>
      <c r="AK14" s="97">
        <f>S7</f>
        <v>201572.67416570929</v>
      </c>
      <c r="AL14" s="97">
        <v>0</v>
      </c>
      <c r="AM14" s="97">
        <f>AK14+AL14</f>
        <v>201572.67416570929</v>
      </c>
      <c r="AN14" s="97">
        <f>S8</f>
        <v>403145.34833141859</v>
      </c>
      <c r="AO14" s="97">
        <v>0</v>
      </c>
      <c r="AP14" s="97">
        <f>AN14+AO14</f>
        <v>403145.34833141859</v>
      </c>
      <c r="AQ14" s="97">
        <f>AN14+AK14+AH14</f>
        <v>806290.69666283717</v>
      </c>
      <c r="AR14" s="97">
        <f>AO14+AL14+AI14</f>
        <v>0</v>
      </c>
      <c r="AS14" s="97">
        <f>AP14+AM14+AJ14</f>
        <v>806290.69666283717</v>
      </c>
      <c r="AT14" s="19">
        <f>AS14-S10</f>
        <v>0</v>
      </c>
      <c r="AV14" s="171" t="s">
        <v>149</v>
      </c>
      <c r="AW14" s="171"/>
      <c r="AX14" s="171"/>
      <c r="AY14" s="171"/>
      <c r="AZ14" s="171"/>
      <c r="BA14" s="27"/>
      <c r="BB14" s="171" t="s">
        <v>149</v>
      </c>
      <c r="BC14" s="171"/>
      <c r="BD14" s="171"/>
      <c r="BE14" s="171"/>
      <c r="BF14" s="171"/>
    </row>
    <row r="15" spans="2:70" x14ac:dyDescent="0.3">
      <c r="G15" s="19"/>
      <c r="I15" s="148" t="s">
        <v>91</v>
      </c>
      <c r="J15" s="159" t="s">
        <v>142</v>
      </c>
      <c r="K15" s="159" t="s">
        <v>143</v>
      </c>
      <c r="L15" s="159" t="s">
        <v>144</v>
      </c>
      <c r="M15" s="159" t="s">
        <v>145</v>
      </c>
      <c r="N15" s="88"/>
      <c r="O15" s="148" t="s">
        <v>91</v>
      </c>
      <c r="P15" s="159" t="s">
        <v>142</v>
      </c>
      <c r="Q15" s="159" t="s">
        <v>143</v>
      </c>
      <c r="R15" s="159" t="s">
        <v>144</v>
      </c>
      <c r="S15" s="159" t="s">
        <v>145</v>
      </c>
      <c r="AG15" s="92" t="s">
        <v>159</v>
      </c>
      <c r="AH15" s="97">
        <f>S17</f>
        <v>191366.46281554678</v>
      </c>
      <c r="AI15" s="97">
        <f>S28</f>
        <v>107313.36765952961</v>
      </c>
      <c r="AJ15" s="97">
        <f t="shared" ref="AJ15:AJ17" si="8">AH15+AI15</f>
        <v>298679.83047507639</v>
      </c>
      <c r="AK15" s="97">
        <f>S18</f>
        <v>191366.46281554678</v>
      </c>
      <c r="AL15" s="97">
        <f>S29</f>
        <v>107313.36765952961</v>
      </c>
      <c r="AM15" s="97">
        <f t="shared" ref="AM15:AM17" si="9">AK15+AL15</f>
        <v>298679.83047507639</v>
      </c>
      <c r="AN15" s="97">
        <f>S19</f>
        <v>382732.92563109356</v>
      </c>
      <c r="AO15" s="97">
        <f>S30</f>
        <v>214626.73531905923</v>
      </c>
      <c r="AP15" s="97">
        <f t="shared" ref="AP15:AP17" si="10">AN15+AO15</f>
        <v>597359.66095015279</v>
      </c>
      <c r="AQ15" s="97">
        <f t="shared" ref="AQ15:AS16" si="11">AN15+AK15+AH15</f>
        <v>765465.85126218712</v>
      </c>
      <c r="AR15" s="97">
        <f t="shared" si="11"/>
        <v>429253.47063811845</v>
      </c>
      <c r="AS15" s="97">
        <f t="shared" si="11"/>
        <v>1194719.3219003056</v>
      </c>
      <c r="AT15" s="19">
        <f>AQ15-S21</f>
        <v>0</v>
      </c>
      <c r="AU15" s="19">
        <f>AR15-S32</f>
        <v>0</v>
      </c>
      <c r="AV15" s="154" t="s">
        <v>91</v>
      </c>
      <c r="AW15" s="170" t="s">
        <v>142</v>
      </c>
      <c r="AX15" s="170" t="s">
        <v>143</v>
      </c>
      <c r="AY15" s="170" t="s">
        <v>144</v>
      </c>
      <c r="AZ15" s="170" t="s">
        <v>145</v>
      </c>
      <c r="BB15" s="154" t="s">
        <v>91</v>
      </c>
      <c r="BC15" s="170" t="s">
        <v>142</v>
      </c>
      <c r="BD15" s="170" t="s">
        <v>143</v>
      </c>
      <c r="BE15" s="170" t="s">
        <v>144</v>
      </c>
      <c r="BF15" s="170" t="s">
        <v>145</v>
      </c>
    </row>
    <row r="16" spans="2:70" x14ac:dyDescent="0.3">
      <c r="G16" s="19"/>
      <c r="I16" s="148"/>
      <c r="J16" s="159"/>
      <c r="K16" s="159" t="s">
        <v>116</v>
      </c>
      <c r="L16" s="159" t="s">
        <v>125</v>
      </c>
      <c r="M16" s="159"/>
      <c r="N16" s="88"/>
      <c r="O16" s="148"/>
      <c r="P16" s="159"/>
      <c r="Q16" s="159" t="s">
        <v>116</v>
      </c>
      <c r="R16" s="159" t="s">
        <v>125</v>
      </c>
      <c r="S16" s="159"/>
      <c r="AG16" s="92" t="s">
        <v>160</v>
      </c>
      <c r="AH16" s="97">
        <f>AE6</f>
        <v>72901.509644017817</v>
      </c>
      <c r="AI16" s="97">
        <f>M46</f>
        <v>0</v>
      </c>
      <c r="AJ16" s="97">
        <f t="shared" si="8"/>
        <v>72901.509644017817</v>
      </c>
      <c r="AK16" s="97">
        <f>AE7</f>
        <v>72901.509644017817</v>
      </c>
      <c r="AL16" s="97">
        <v>0</v>
      </c>
      <c r="AM16" s="97">
        <f t="shared" si="9"/>
        <v>72901.509644017817</v>
      </c>
      <c r="AN16" s="97">
        <f>AE8</f>
        <v>145803.01928803563</v>
      </c>
      <c r="AO16" s="97">
        <v>0</v>
      </c>
      <c r="AP16" s="97">
        <f t="shared" si="10"/>
        <v>145803.01928803563</v>
      </c>
      <c r="AQ16" s="97">
        <f t="shared" si="11"/>
        <v>291606.03857607127</v>
      </c>
      <c r="AR16" s="97">
        <f t="shared" si="11"/>
        <v>0</v>
      </c>
      <c r="AS16" s="97">
        <f t="shared" si="11"/>
        <v>291606.03857607127</v>
      </c>
      <c r="AT16" s="19">
        <f>AS16-AE10</f>
        <v>0</v>
      </c>
      <c r="AV16" s="154"/>
      <c r="AW16" s="170"/>
      <c r="AX16" s="170" t="s">
        <v>116</v>
      </c>
      <c r="AY16" s="170" t="s">
        <v>125</v>
      </c>
      <c r="AZ16" s="170"/>
      <c r="BB16" s="154"/>
      <c r="BC16" s="170"/>
      <c r="BD16" s="170" t="s">
        <v>116</v>
      </c>
      <c r="BE16" s="170" t="s">
        <v>125</v>
      </c>
      <c r="BF16" s="170"/>
    </row>
    <row r="17" spans="2:58" x14ac:dyDescent="0.3">
      <c r="G17" s="19"/>
      <c r="I17" s="63">
        <f>I6</f>
        <v>2018</v>
      </c>
      <c r="J17" s="62">
        <f>E6</f>
        <v>1835.30208209785</v>
      </c>
      <c r="K17" s="62">
        <f>K6</f>
        <v>207.79296609948688</v>
      </c>
      <c r="L17" s="54">
        <v>1050</v>
      </c>
      <c r="M17" s="63">
        <f>K17*L17</f>
        <v>218182.61440446123</v>
      </c>
      <c r="N17" s="88"/>
      <c r="O17" s="63">
        <f>O6</f>
        <v>2018</v>
      </c>
      <c r="P17" s="63">
        <f>J17</f>
        <v>1835.30208209785</v>
      </c>
      <c r="Q17" s="62">
        <f>P19*0.1/2</f>
        <v>182.25377411004456</v>
      </c>
      <c r="R17" s="54">
        <f>L17</f>
        <v>1050</v>
      </c>
      <c r="S17" s="63">
        <f>Q17*R17</f>
        <v>191366.46281554678</v>
      </c>
      <c r="AG17" s="92" t="s">
        <v>250</v>
      </c>
      <c r="AH17" s="97"/>
      <c r="AI17" s="97"/>
      <c r="AJ17" s="97">
        <f t="shared" si="8"/>
        <v>0</v>
      </c>
      <c r="AK17" s="97"/>
      <c r="AL17" s="97"/>
      <c r="AM17" s="97">
        <f t="shared" si="9"/>
        <v>0</v>
      </c>
      <c r="AN17" s="97"/>
      <c r="AO17" s="97"/>
      <c r="AP17" s="97">
        <f t="shared" si="10"/>
        <v>0</v>
      </c>
      <c r="AQ17" s="97">
        <f t="shared" ref="AQ17" si="12">AN17+AK17+AH17</f>
        <v>0</v>
      </c>
      <c r="AR17" s="97">
        <f t="shared" ref="AR17" si="13">AO17+AL17+AI17</f>
        <v>0</v>
      </c>
      <c r="AS17" s="97">
        <f t="shared" ref="AS17" si="14">AP17+AM17+AJ17</f>
        <v>0</v>
      </c>
      <c r="AV17" s="22"/>
      <c r="AW17" s="22"/>
      <c r="AX17" s="22"/>
      <c r="AY17" s="22"/>
      <c r="AZ17" s="22"/>
      <c r="BB17" s="22"/>
      <c r="BC17" s="22"/>
      <c r="BD17" s="22"/>
      <c r="BE17" s="22"/>
      <c r="BF17" s="22"/>
    </row>
    <row r="18" spans="2:58" x14ac:dyDescent="0.3">
      <c r="G18" s="19"/>
      <c r="I18" s="63">
        <f>I17+5</f>
        <v>2023</v>
      </c>
      <c r="J18" s="62">
        <f>E7</f>
        <v>2630.2817189234902</v>
      </c>
      <c r="K18" s="62">
        <f>K7</f>
        <v>397.48981841282011</v>
      </c>
      <c r="L18" s="54">
        <v>1050</v>
      </c>
      <c r="M18" s="63">
        <f>K18*L18</f>
        <v>417364.3093334611</v>
      </c>
      <c r="N18" s="88"/>
      <c r="O18" s="63">
        <f>O17+5</f>
        <v>2023</v>
      </c>
      <c r="P18" s="63">
        <f>J18</f>
        <v>2630.2817189234902</v>
      </c>
      <c r="Q18" s="62">
        <f>P19*0.1/2</f>
        <v>182.25377411004456</v>
      </c>
      <c r="R18" s="54">
        <f>L18</f>
        <v>1050</v>
      </c>
      <c r="S18" s="63">
        <f>Q18*R18</f>
        <v>191366.46281554678</v>
      </c>
      <c r="AG18" s="92" t="s">
        <v>126</v>
      </c>
      <c r="AH18" s="106">
        <f t="shared" ref="AH18:AS18" si="15">SUM(AH14:AH17)</f>
        <v>465840.64662527386</v>
      </c>
      <c r="AI18" s="106">
        <f t="shared" si="15"/>
        <v>107313.36765952961</v>
      </c>
      <c r="AJ18" s="106">
        <f t="shared" si="15"/>
        <v>573154.01428480353</v>
      </c>
      <c r="AK18" s="106">
        <f t="shared" si="15"/>
        <v>465840.64662527386</v>
      </c>
      <c r="AL18" s="106">
        <f t="shared" si="15"/>
        <v>107313.36765952961</v>
      </c>
      <c r="AM18" s="106">
        <f t="shared" si="15"/>
        <v>573154.01428480353</v>
      </c>
      <c r="AN18" s="106">
        <f t="shared" si="15"/>
        <v>931681.29325054772</v>
      </c>
      <c r="AO18" s="106">
        <f t="shared" si="15"/>
        <v>214626.73531905923</v>
      </c>
      <c r="AP18" s="106">
        <f t="shared" si="15"/>
        <v>1146308.0285696071</v>
      </c>
      <c r="AQ18" s="106">
        <f t="shared" si="15"/>
        <v>1863362.5865010954</v>
      </c>
      <c r="AR18" s="106">
        <f t="shared" si="15"/>
        <v>429253.47063811845</v>
      </c>
      <c r="AS18" s="106">
        <f t="shared" si="15"/>
        <v>2292616.0571392141</v>
      </c>
      <c r="AV18" s="22"/>
      <c r="AW18" s="22"/>
      <c r="AX18" s="22"/>
      <c r="AY18" s="22"/>
      <c r="AZ18" s="22"/>
      <c r="BB18" s="22"/>
      <c r="BC18" s="22"/>
      <c r="BD18" s="22"/>
      <c r="BE18" s="22"/>
      <c r="BF18" s="22"/>
    </row>
    <row r="19" spans="2:58" x14ac:dyDescent="0.3">
      <c r="G19" s="19"/>
      <c r="I19" s="63">
        <f>I18+5</f>
        <v>2028</v>
      </c>
      <c r="J19" s="62">
        <f>E8</f>
        <v>3645.0754822008907</v>
      </c>
      <c r="K19" s="62">
        <f>K8</f>
        <v>507.39688163870028</v>
      </c>
      <c r="L19" s="54">
        <v>1050</v>
      </c>
      <c r="M19" s="63">
        <f>K19*L19</f>
        <v>532766.72572063527</v>
      </c>
      <c r="N19" s="88"/>
      <c r="O19" s="63">
        <f>O18+5</f>
        <v>2028</v>
      </c>
      <c r="P19" s="63">
        <f>J19</f>
        <v>3645.0754822008907</v>
      </c>
      <c r="Q19" s="62">
        <f>P19*0.2/2</f>
        <v>364.50754822008912</v>
      </c>
      <c r="R19" s="54">
        <f>L19</f>
        <v>1050</v>
      </c>
      <c r="S19" s="63">
        <f>Q19*R19</f>
        <v>382732.92563109356</v>
      </c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V19" s="22"/>
      <c r="AW19" s="22"/>
      <c r="AX19" s="22"/>
      <c r="AY19" s="22"/>
      <c r="AZ19" s="22"/>
      <c r="BB19" s="22"/>
      <c r="BC19" s="22"/>
      <c r="BD19" s="22"/>
      <c r="BE19" s="22"/>
      <c r="BF19" s="22"/>
    </row>
    <row r="20" spans="2:58" x14ac:dyDescent="0.3">
      <c r="G20" s="19"/>
      <c r="I20" s="63">
        <f>I19+10</f>
        <v>2038</v>
      </c>
      <c r="J20" s="60"/>
      <c r="K20" s="60"/>
      <c r="L20" s="60"/>
      <c r="M20" s="60"/>
      <c r="N20" s="88"/>
      <c r="O20" s="63">
        <f>O19+10</f>
        <v>2038</v>
      </c>
      <c r="P20" s="60"/>
      <c r="Q20" s="60"/>
      <c r="R20" s="60"/>
      <c r="S20" s="60"/>
      <c r="AG20" s="147" t="s">
        <v>157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88"/>
      <c r="AS20" s="88"/>
      <c r="AV20" s="22"/>
      <c r="AW20" s="22"/>
      <c r="AX20" s="22"/>
      <c r="AY20" s="22"/>
      <c r="AZ20" s="22"/>
      <c r="BB20" s="22"/>
      <c r="BC20" s="22"/>
      <c r="BD20" s="22"/>
      <c r="BE20" s="22"/>
      <c r="BF20" s="22"/>
    </row>
    <row r="21" spans="2:58" x14ac:dyDescent="0.3">
      <c r="G21" s="19"/>
      <c r="I21" s="60" t="s">
        <v>126</v>
      </c>
      <c r="J21" s="60"/>
      <c r="K21" s="60"/>
      <c r="L21" s="60"/>
      <c r="M21" s="63">
        <f>SUM(M17:M20)</f>
        <v>1168313.6494585576</v>
      </c>
      <c r="N21" s="88"/>
      <c r="O21" s="60" t="s">
        <v>126</v>
      </c>
      <c r="P21" s="60"/>
      <c r="Q21" s="60"/>
      <c r="R21" s="60"/>
      <c r="S21" s="63">
        <f>SUM(S17:S20)</f>
        <v>765465.85126218712</v>
      </c>
      <c r="AG21" s="148" t="s">
        <v>131</v>
      </c>
      <c r="AH21" s="149" t="s">
        <v>132</v>
      </c>
      <c r="AI21" s="149"/>
      <c r="AJ21" s="149"/>
      <c r="AK21" s="149" t="s">
        <v>133</v>
      </c>
      <c r="AL21" s="149"/>
      <c r="AM21" s="149"/>
      <c r="AN21" s="149" t="s">
        <v>5</v>
      </c>
      <c r="AO21" s="149"/>
      <c r="AP21" s="149"/>
      <c r="AQ21" s="148" t="s">
        <v>140</v>
      </c>
      <c r="AR21" s="88"/>
      <c r="AS21" s="88"/>
      <c r="AV21" s="21" t="s">
        <v>126</v>
      </c>
      <c r="AW21" s="21"/>
      <c r="AX21" s="21"/>
      <c r="AY21" s="21"/>
      <c r="AZ21" s="22"/>
      <c r="BB21" s="21" t="s">
        <v>126</v>
      </c>
      <c r="BC21" s="21"/>
      <c r="BD21" s="21"/>
      <c r="BE21" s="21"/>
      <c r="BF21" s="22"/>
    </row>
    <row r="22" spans="2:58" x14ac:dyDescent="0.3">
      <c r="G22" s="19"/>
      <c r="I22" s="107"/>
      <c r="J22" s="107"/>
      <c r="K22" s="107"/>
      <c r="L22" s="107"/>
      <c r="M22" s="108"/>
      <c r="N22" s="88"/>
      <c r="O22" s="107"/>
      <c r="P22" s="107"/>
      <c r="Q22" s="107"/>
      <c r="R22" s="107"/>
      <c r="S22" s="108"/>
      <c r="AG22" s="148" t="s">
        <v>131</v>
      </c>
      <c r="AH22" s="102" t="s">
        <v>217</v>
      </c>
      <c r="AI22" s="102" t="s">
        <v>215</v>
      </c>
      <c r="AJ22" s="102" t="s">
        <v>216</v>
      </c>
      <c r="AK22" s="102" t="s">
        <v>217</v>
      </c>
      <c r="AL22" s="102" t="s">
        <v>215</v>
      </c>
      <c r="AM22" s="102" t="s">
        <v>216</v>
      </c>
      <c r="AN22" s="102" t="s">
        <v>217</v>
      </c>
      <c r="AO22" s="102" t="s">
        <v>215</v>
      </c>
      <c r="AP22" s="102" t="s">
        <v>216</v>
      </c>
      <c r="AQ22" s="148"/>
      <c r="AR22" s="88"/>
      <c r="AS22" s="88"/>
      <c r="AV22" s="30"/>
      <c r="AW22" s="30"/>
      <c r="AX22" s="30"/>
      <c r="AY22" s="30"/>
      <c r="AZ22" s="31"/>
      <c r="BB22" s="30"/>
      <c r="BC22" s="30"/>
      <c r="BD22" s="30"/>
      <c r="BE22" s="30"/>
      <c r="BF22" s="31"/>
    </row>
    <row r="23" spans="2:58" x14ac:dyDescent="0.3">
      <c r="B23" s="167" t="s">
        <v>118</v>
      </c>
      <c r="C23" s="167"/>
      <c r="D23" s="167"/>
      <c r="E23" s="167"/>
      <c r="F23" s="167"/>
      <c r="I23" s="147" t="s">
        <v>224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AG23" s="92" t="s">
        <v>158</v>
      </c>
      <c r="AH23" s="106">
        <f>AJ5</f>
        <v>229819.02050603248</v>
      </c>
      <c r="AI23" s="106">
        <f>AM5</f>
        <v>439623.73916457902</v>
      </c>
      <c r="AJ23" s="106">
        <f>AP5</f>
        <v>561180.95109240245</v>
      </c>
      <c r="AK23" s="106">
        <f>AJ14</f>
        <v>201572.67416570929</v>
      </c>
      <c r="AL23" s="106">
        <f>AM14</f>
        <v>201572.67416570929</v>
      </c>
      <c r="AM23" s="106">
        <f>AP14</f>
        <v>403145.34833141859</v>
      </c>
      <c r="AN23" s="106">
        <f>AH23+AK23</f>
        <v>431391.6946717418</v>
      </c>
      <c r="AO23" s="106">
        <f>AI23+AL23</f>
        <v>641196.41333028837</v>
      </c>
      <c r="AP23" s="106">
        <f>AJ23+AM23</f>
        <v>964326.29942382104</v>
      </c>
      <c r="AQ23" s="106">
        <f>SUM(AN23:AP23)</f>
        <v>2036914.4074258513</v>
      </c>
      <c r="AR23" s="88"/>
      <c r="AS23" s="88"/>
      <c r="AV23" s="153" t="s">
        <v>224</v>
      </c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</row>
    <row r="24" spans="2:58" x14ac:dyDescent="0.3">
      <c r="B24" s="166" t="s">
        <v>91</v>
      </c>
      <c r="C24" s="167" t="s">
        <v>92</v>
      </c>
      <c r="D24" s="167"/>
      <c r="E24" s="167"/>
      <c r="F24" s="167"/>
      <c r="I24" s="147" t="s">
        <v>151</v>
      </c>
      <c r="J24" s="147"/>
      <c r="K24" s="147"/>
      <c r="L24" s="147"/>
      <c r="M24" s="147"/>
      <c r="N24" s="103"/>
      <c r="O24" s="147" t="s">
        <v>153</v>
      </c>
      <c r="P24" s="147"/>
      <c r="Q24" s="147"/>
      <c r="R24" s="147"/>
      <c r="S24" s="147"/>
      <c r="AG24" s="92" t="s">
        <v>159</v>
      </c>
      <c r="AH24" s="106">
        <f>AJ6</f>
        <v>345068.21348733868</v>
      </c>
      <c r="AI24" s="106">
        <f>AM6</f>
        <v>642565.97019772453</v>
      </c>
      <c r="AJ24" s="106">
        <f>AP6</f>
        <v>789161.59165950178</v>
      </c>
      <c r="AK24" s="106">
        <f>AJ15</f>
        <v>298679.83047507639</v>
      </c>
      <c r="AL24" s="106">
        <f>AM15</f>
        <v>298679.83047507639</v>
      </c>
      <c r="AM24" s="106">
        <f>AP15</f>
        <v>597359.66095015279</v>
      </c>
      <c r="AN24" s="106">
        <f t="shared" ref="AN24:AP27" si="16">AH24+AK24</f>
        <v>643748.04396241507</v>
      </c>
      <c r="AO24" s="106">
        <f t="shared" si="16"/>
        <v>941245.80067280098</v>
      </c>
      <c r="AP24" s="106">
        <f t="shared" si="16"/>
        <v>1386521.2526096546</v>
      </c>
      <c r="AQ24" s="106">
        <f>SUM(AN24:AP24)</f>
        <v>2971515.0972448708</v>
      </c>
      <c r="AR24" s="88"/>
      <c r="AS24" s="88"/>
      <c r="AV24" s="153" t="s">
        <v>151</v>
      </c>
      <c r="AW24" s="153"/>
      <c r="AX24" s="153"/>
      <c r="AY24" s="153"/>
      <c r="AZ24" s="153"/>
      <c r="BA24" s="27"/>
      <c r="BB24" s="153" t="s">
        <v>153</v>
      </c>
      <c r="BC24" s="153"/>
      <c r="BD24" s="153"/>
      <c r="BE24" s="153"/>
      <c r="BF24" s="153"/>
    </row>
    <row r="25" spans="2:58" ht="14.4" customHeight="1" x14ac:dyDescent="0.3">
      <c r="B25" s="166"/>
      <c r="C25" s="44" t="s">
        <v>114</v>
      </c>
      <c r="D25" s="44" t="s">
        <v>115</v>
      </c>
      <c r="E25" s="44" t="s">
        <v>121</v>
      </c>
      <c r="F25" s="44" t="s">
        <v>122</v>
      </c>
      <c r="I25" s="161" t="s">
        <v>149</v>
      </c>
      <c r="J25" s="161"/>
      <c r="K25" s="161"/>
      <c r="L25" s="161"/>
      <c r="M25" s="161"/>
      <c r="N25" s="103"/>
      <c r="O25" s="161" t="s">
        <v>149</v>
      </c>
      <c r="P25" s="161"/>
      <c r="Q25" s="161"/>
      <c r="R25" s="161"/>
      <c r="S25" s="161"/>
      <c r="AG25" s="92" t="s">
        <v>160</v>
      </c>
      <c r="AH25" s="106">
        <f>AJ7</f>
        <v>41558.593219897375</v>
      </c>
      <c r="AI25" s="106">
        <f>AM7</f>
        <v>79497.963682564019</v>
      </c>
      <c r="AJ25" s="106">
        <f>AP7</f>
        <v>101479.37632774006</v>
      </c>
      <c r="AK25" s="106">
        <f>AJ16</f>
        <v>72901.509644017817</v>
      </c>
      <c r="AL25" s="106">
        <f>AM16</f>
        <v>72901.509644017817</v>
      </c>
      <c r="AM25" s="106">
        <f>AP16</f>
        <v>145803.01928803563</v>
      </c>
      <c r="AN25" s="106">
        <f t="shared" si="16"/>
        <v>114460.10286391519</v>
      </c>
      <c r="AO25" s="106">
        <f t="shared" si="16"/>
        <v>152399.47332658182</v>
      </c>
      <c r="AP25" s="106">
        <f t="shared" si="16"/>
        <v>247282.39561577569</v>
      </c>
      <c r="AQ25" s="106">
        <f>SUM(AN25:AP25)</f>
        <v>514141.97180627275</v>
      </c>
      <c r="AR25" s="88"/>
      <c r="AS25" s="88"/>
      <c r="AV25" s="171" t="s">
        <v>149</v>
      </c>
      <c r="AW25" s="171"/>
      <c r="AX25" s="171"/>
      <c r="AY25" s="171"/>
      <c r="AZ25" s="171"/>
      <c r="BA25" s="27"/>
      <c r="BB25" s="171" t="s">
        <v>149</v>
      </c>
      <c r="BC25" s="171"/>
      <c r="BD25" s="171"/>
      <c r="BE25" s="171"/>
      <c r="BF25" s="171"/>
    </row>
    <row r="26" spans="2:58" ht="14.4" customHeight="1" x14ac:dyDescent="0.3">
      <c r="B26" s="76">
        <f>'Quadros 8.4.1 a 8.4.4'!T34</f>
        <v>2018</v>
      </c>
      <c r="C26" s="76">
        <f>'Quadros 8.4.1 a 8.4.4'!U34</f>
        <v>442.52528638979868</v>
      </c>
      <c r="D26" s="76">
        <f>'Quadros 8.4.1 a 8.4.4'!V34</f>
        <v>915.82219865438469</v>
      </c>
      <c r="E26" s="76">
        <f>'Quadros 8.4.1 a 8.4.4'!W34</f>
        <v>563.36871408777722</v>
      </c>
      <c r="F26" s="76">
        <f>'Quadros 8.4.1 a 8.4.4'!X34</f>
        <v>120.84342769797854</v>
      </c>
      <c r="I26" s="148" t="s">
        <v>91</v>
      </c>
      <c r="J26" s="159" t="s">
        <v>142</v>
      </c>
      <c r="K26" s="159" t="s">
        <v>143</v>
      </c>
      <c r="L26" s="159" t="s">
        <v>144</v>
      </c>
      <c r="M26" s="159" t="s">
        <v>145</v>
      </c>
      <c r="N26" s="88"/>
      <c r="O26" s="148" t="s">
        <v>91</v>
      </c>
      <c r="P26" s="159" t="s">
        <v>142</v>
      </c>
      <c r="Q26" s="159" t="s">
        <v>143</v>
      </c>
      <c r="R26" s="159" t="s">
        <v>144</v>
      </c>
      <c r="S26" s="159" t="s">
        <v>145</v>
      </c>
      <c r="AG26" s="92" t="s">
        <v>250</v>
      </c>
      <c r="AH26" s="106">
        <f>AJ8</f>
        <v>0</v>
      </c>
      <c r="AI26" s="106">
        <f>AM8</f>
        <v>0</v>
      </c>
      <c r="AJ26" s="106">
        <f>AP8</f>
        <v>0</v>
      </c>
      <c r="AK26" s="106">
        <f>AJ17</f>
        <v>0</v>
      </c>
      <c r="AL26" s="106">
        <f>AM17</f>
        <v>0</v>
      </c>
      <c r="AM26" s="106">
        <f>AP17</f>
        <v>0</v>
      </c>
      <c r="AN26" s="106">
        <f t="shared" si="16"/>
        <v>0</v>
      </c>
      <c r="AO26" s="106">
        <f t="shared" si="16"/>
        <v>0</v>
      </c>
      <c r="AP26" s="106">
        <f t="shared" si="16"/>
        <v>0</v>
      </c>
      <c r="AQ26" s="106">
        <f>SUM(AN26:AP26)</f>
        <v>0</v>
      </c>
      <c r="AR26" s="88"/>
      <c r="AS26" s="88"/>
      <c r="AV26" s="154" t="s">
        <v>91</v>
      </c>
      <c r="AW26" s="170" t="s">
        <v>142</v>
      </c>
      <c r="AX26" s="170" t="s">
        <v>143</v>
      </c>
      <c r="AY26" s="170" t="s">
        <v>144</v>
      </c>
      <c r="AZ26" s="170" t="s">
        <v>145</v>
      </c>
      <c r="BB26" s="154" t="s">
        <v>91</v>
      </c>
      <c r="BC26" s="170" t="s">
        <v>142</v>
      </c>
      <c r="BD26" s="170" t="s">
        <v>143</v>
      </c>
      <c r="BE26" s="170" t="s">
        <v>144</v>
      </c>
      <c r="BF26" s="170" t="s">
        <v>145</v>
      </c>
    </row>
    <row r="27" spans="2:58" x14ac:dyDescent="0.3">
      <c r="B27" s="76">
        <f>'Quadros 8.4.1 a 8.4.4'!T35</f>
        <v>2023</v>
      </c>
      <c r="C27" s="76">
        <f>'Quadros 8.4.1 a 8.4.4'!U35</f>
        <v>563.36871408777722</v>
      </c>
      <c r="D27" s="76">
        <f>'Quadros 8.4.1 a 8.4.4'!V35</f>
        <v>938.94785681296196</v>
      </c>
      <c r="E27" s="76">
        <f>'Quadros 8.4.1 a 8.4.4'!W35</f>
        <v>777.84648633945665</v>
      </c>
      <c r="F27" s="76">
        <f>'Quadros 8.4.1 a 8.4.4'!X35</f>
        <v>214.47777225167943</v>
      </c>
      <c r="I27" s="148"/>
      <c r="J27" s="159"/>
      <c r="K27" s="159" t="s">
        <v>116</v>
      </c>
      <c r="L27" s="159" t="s">
        <v>125</v>
      </c>
      <c r="M27" s="159"/>
      <c r="N27" s="88"/>
      <c r="O27" s="148"/>
      <c r="P27" s="159"/>
      <c r="Q27" s="159" t="s">
        <v>116</v>
      </c>
      <c r="R27" s="159" t="s">
        <v>125</v>
      </c>
      <c r="S27" s="159"/>
      <c r="AG27" s="92" t="s">
        <v>126</v>
      </c>
      <c r="AH27" s="106">
        <f>AJ9</f>
        <v>616445.82721326849</v>
      </c>
      <c r="AI27" s="106">
        <f>AM9</f>
        <v>1161687.6730448676</v>
      </c>
      <c r="AJ27" s="106">
        <f>AP9</f>
        <v>1451821.9190796441</v>
      </c>
      <c r="AK27" s="106">
        <f>AJ18</f>
        <v>573154.01428480353</v>
      </c>
      <c r="AL27" s="106">
        <f>AM18</f>
        <v>573154.01428480353</v>
      </c>
      <c r="AM27" s="106">
        <f>AP18</f>
        <v>1146308.0285696071</v>
      </c>
      <c r="AN27" s="106">
        <f t="shared" si="16"/>
        <v>1189599.841498072</v>
      </c>
      <c r="AO27" s="106">
        <f t="shared" si="16"/>
        <v>1734841.6873296711</v>
      </c>
      <c r="AP27" s="106">
        <f t="shared" si="16"/>
        <v>2598129.9476492512</v>
      </c>
      <c r="AQ27" s="106">
        <f>SUM(AN27:AP27)</f>
        <v>5522571.4764769943</v>
      </c>
      <c r="AR27" s="88"/>
      <c r="AS27" s="88"/>
      <c r="AV27" s="154"/>
      <c r="AW27" s="170"/>
      <c r="AX27" s="170" t="s">
        <v>116</v>
      </c>
      <c r="AY27" s="170" t="s">
        <v>125</v>
      </c>
      <c r="AZ27" s="170"/>
      <c r="BB27" s="154"/>
      <c r="BC27" s="170"/>
      <c r="BD27" s="170" t="s">
        <v>116</v>
      </c>
      <c r="BE27" s="170" t="s">
        <v>125</v>
      </c>
      <c r="BF27" s="170"/>
    </row>
    <row r="28" spans="2:58" x14ac:dyDescent="0.3">
      <c r="B28" s="76">
        <f>'Quadros 8.4.1 a 8.4.4'!T36</f>
        <v>2028</v>
      </c>
      <c r="C28" s="76">
        <f>'Quadros 8.4.1 a 8.4.4'!U36</f>
        <v>777.84648633945665</v>
      </c>
      <c r="D28" s="76">
        <f>'Quadros 8.4.1 a 8.4.4'!V36</f>
        <v>972.30810792432078</v>
      </c>
      <c r="E28" s="76">
        <f>'Quadros 8.4.1 a 8.4.4'!W36</f>
        <v>1022.0320729479009</v>
      </c>
      <c r="F28" s="76">
        <f>'Quadros 8.4.1 a 8.4.4'!X36</f>
        <v>244.18558660844428</v>
      </c>
      <c r="I28" s="63">
        <f>B26</f>
        <v>2018</v>
      </c>
      <c r="J28" s="62">
        <f t="shared" ref="J28:K30" si="17">E26</f>
        <v>563.36871408777722</v>
      </c>
      <c r="K28" s="62">
        <f>F26</f>
        <v>120.84342769797854</v>
      </c>
      <c r="L28" s="54">
        <v>1050</v>
      </c>
      <c r="M28" s="63">
        <f>K28*L28</f>
        <v>126885.59908287747</v>
      </c>
      <c r="N28" s="88"/>
      <c r="O28" s="63">
        <f>I28</f>
        <v>2018</v>
      </c>
      <c r="P28" s="63">
        <f>J28</f>
        <v>563.36871408777722</v>
      </c>
      <c r="Q28" s="62">
        <f>P30*0.1</f>
        <v>102.2032072947901</v>
      </c>
      <c r="R28" s="54">
        <f>L28</f>
        <v>1050</v>
      </c>
      <c r="S28" s="63">
        <f>Q28*R28</f>
        <v>107313.36765952961</v>
      </c>
      <c r="AV28" s="22"/>
      <c r="AW28" s="22"/>
      <c r="AX28" s="22"/>
      <c r="AY28" s="22"/>
      <c r="AZ28" s="22"/>
      <c r="BB28" s="22"/>
      <c r="BC28" s="22"/>
      <c r="BD28" s="22"/>
      <c r="BE28" s="22"/>
      <c r="BF28" s="22"/>
    </row>
    <row r="29" spans="2:58" x14ac:dyDescent="0.3">
      <c r="B29" s="76">
        <f>'Quadros 8.4.1 a 8.4.4'!T37</f>
        <v>2038</v>
      </c>
      <c r="C29" s="76">
        <f>'Quadros 8.4.1 a 8.4.4'!U37</f>
        <v>1022.0320729479009</v>
      </c>
      <c r="D29" s="76">
        <f>'Quadros 8.4.1 a 8.4.4'!V37</f>
        <v>1022.0320729479009</v>
      </c>
      <c r="E29" s="76">
        <f>'Quadros 8.4.1 a 8.4.4'!W37</f>
        <v>1022.0320729479009</v>
      </c>
      <c r="F29" s="76">
        <f>'Quadros 8.4.1 a 8.4.4'!X37</f>
        <v>0</v>
      </c>
      <c r="I29" s="63">
        <f>I28+5</f>
        <v>2023</v>
      </c>
      <c r="J29" s="62">
        <f t="shared" si="17"/>
        <v>777.84648633945665</v>
      </c>
      <c r="K29" s="62">
        <f t="shared" si="17"/>
        <v>214.47777225167943</v>
      </c>
      <c r="L29" s="54">
        <v>1050</v>
      </c>
      <c r="M29" s="63">
        <f>K29*L29</f>
        <v>225201.66086426339</v>
      </c>
      <c r="N29" s="88"/>
      <c r="O29" s="63">
        <f>O28+5</f>
        <v>2023</v>
      </c>
      <c r="P29" s="63">
        <f>J29</f>
        <v>777.84648633945665</v>
      </c>
      <c r="Q29" s="62">
        <f>P30*0.1</f>
        <v>102.2032072947901</v>
      </c>
      <c r="R29" s="54">
        <f>L29</f>
        <v>1050</v>
      </c>
      <c r="S29" s="63">
        <f>Q29*R29</f>
        <v>107313.36765952961</v>
      </c>
      <c r="AV29" s="22"/>
      <c r="AW29" s="22"/>
      <c r="AX29" s="22"/>
      <c r="AY29" s="22"/>
      <c r="AZ29" s="22"/>
      <c r="BB29" s="22"/>
      <c r="BC29" s="22"/>
      <c r="BD29" s="22"/>
      <c r="BE29" s="22"/>
      <c r="BF29" s="22"/>
    </row>
    <row r="30" spans="2:58" x14ac:dyDescent="0.3">
      <c r="G30" s="18"/>
      <c r="I30" s="63">
        <f>I29+5</f>
        <v>2028</v>
      </c>
      <c r="J30" s="62">
        <f t="shared" si="17"/>
        <v>1022.0320729479009</v>
      </c>
      <c r="K30" s="62">
        <f t="shared" si="17"/>
        <v>244.18558660844428</v>
      </c>
      <c r="L30" s="54">
        <v>1050</v>
      </c>
      <c r="M30" s="63">
        <f>K30*L30</f>
        <v>256394.86593886651</v>
      </c>
      <c r="N30" s="88"/>
      <c r="O30" s="63">
        <f>O29+5</f>
        <v>2028</v>
      </c>
      <c r="P30" s="63">
        <f>J30</f>
        <v>1022.0320729479009</v>
      </c>
      <c r="Q30" s="62">
        <f>P30*0.2</f>
        <v>204.40641458958021</v>
      </c>
      <c r="R30" s="54">
        <f>L30</f>
        <v>1050</v>
      </c>
      <c r="S30" s="63">
        <f>Q30*R30</f>
        <v>214626.73531905923</v>
      </c>
      <c r="AV30" s="22"/>
      <c r="AW30" s="22"/>
      <c r="AX30" s="22"/>
      <c r="AY30" s="22"/>
      <c r="AZ30" s="22"/>
      <c r="BB30" s="22"/>
      <c r="BC30" s="22"/>
      <c r="BD30" s="22"/>
      <c r="BE30" s="22"/>
      <c r="BF30" s="22"/>
    </row>
    <row r="31" spans="2:58" x14ac:dyDescent="0.3">
      <c r="I31" s="63">
        <f>I30+10</f>
        <v>2038</v>
      </c>
      <c r="J31" s="60"/>
      <c r="K31" s="60"/>
      <c r="L31" s="60"/>
      <c r="M31" s="60"/>
      <c r="N31" s="88"/>
      <c r="O31" s="63">
        <f>O30+10</f>
        <v>2038</v>
      </c>
      <c r="P31" s="60"/>
      <c r="Q31" s="60"/>
      <c r="R31" s="60"/>
      <c r="S31" s="60"/>
      <c r="AV31" s="22"/>
      <c r="AW31" s="22"/>
      <c r="AX31" s="22"/>
      <c r="AY31" s="22"/>
      <c r="AZ31" s="22"/>
      <c r="BB31" s="22"/>
      <c r="BC31" s="22"/>
      <c r="BD31" s="22"/>
      <c r="BE31" s="22"/>
      <c r="BF31" s="22"/>
    </row>
    <row r="32" spans="2:58" x14ac:dyDescent="0.3">
      <c r="I32" s="60" t="s">
        <v>126</v>
      </c>
      <c r="J32" s="60"/>
      <c r="K32" s="60"/>
      <c r="L32" s="60"/>
      <c r="M32" s="63">
        <f>SUM(M28:M31)</f>
        <v>608482.12588600744</v>
      </c>
      <c r="N32" s="88"/>
      <c r="O32" s="60" t="s">
        <v>126</v>
      </c>
      <c r="P32" s="60"/>
      <c r="Q32" s="60"/>
      <c r="R32" s="60"/>
      <c r="S32" s="63">
        <f>SUM(S28:S31)</f>
        <v>429253.47063811845</v>
      </c>
      <c r="AV32" s="21" t="s">
        <v>126</v>
      </c>
      <c r="AW32" s="21"/>
      <c r="AX32" s="21"/>
      <c r="AY32" s="21"/>
      <c r="AZ32" s="22"/>
      <c r="BB32" s="21" t="s">
        <v>126</v>
      </c>
      <c r="BC32" s="21"/>
      <c r="BD32" s="21"/>
      <c r="BE32" s="21"/>
      <c r="BF32" s="22"/>
    </row>
    <row r="33" ht="14.4" customHeight="1" x14ac:dyDescent="0.3"/>
    <row r="34" ht="14.4" customHeight="1" x14ac:dyDescent="0.3"/>
  </sheetData>
  <mergeCells count="146">
    <mergeCell ref="AG1:AS1"/>
    <mergeCell ref="I1:S1"/>
    <mergeCell ref="U1:AE1"/>
    <mergeCell ref="AV1:BF1"/>
    <mergeCell ref="BH1:BR1"/>
    <mergeCell ref="I12:S12"/>
    <mergeCell ref="AV13:AZ13"/>
    <mergeCell ref="BB13:BF13"/>
    <mergeCell ref="AV14:AZ14"/>
    <mergeCell ref="BB14:BF14"/>
    <mergeCell ref="BE4:BE5"/>
    <mergeCell ref="BF4:BF5"/>
    <mergeCell ref="AV12:BF12"/>
    <mergeCell ref="AV2:AZ2"/>
    <mergeCell ref="BB2:BF2"/>
    <mergeCell ref="BH2:BL2"/>
    <mergeCell ref="BN2:BR2"/>
    <mergeCell ref="AV3:AZ3"/>
    <mergeCell ref="BB3:BF3"/>
    <mergeCell ref="BH3:BL3"/>
    <mergeCell ref="BN3:BR3"/>
    <mergeCell ref="BP4:BP5"/>
    <mergeCell ref="BQ4:BQ5"/>
    <mergeCell ref="BR4:BR5"/>
    <mergeCell ref="AV24:AZ24"/>
    <mergeCell ref="BB24:BF24"/>
    <mergeCell ref="AV25:AZ25"/>
    <mergeCell ref="BB25:BF25"/>
    <mergeCell ref="AV26:AV27"/>
    <mergeCell ref="AW26:AW27"/>
    <mergeCell ref="AX26:AX27"/>
    <mergeCell ref="AY26:AY27"/>
    <mergeCell ref="AZ26:AZ27"/>
    <mergeCell ref="BB26:BB27"/>
    <mergeCell ref="BC26:BC27"/>
    <mergeCell ref="BD26:BD27"/>
    <mergeCell ref="BE26:BE27"/>
    <mergeCell ref="BF26:BF27"/>
    <mergeCell ref="AV23:BF23"/>
    <mergeCell ref="AV15:AV16"/>
    <mergeCell ref="AW15:AW16"/>
    <mergeCell ref="AX15:AX16"/>
    <mergeCell ref="AY15:AY16"/>
    <mergeCell ref="AZ15:AZ16"/>
    <mergeCell ref="BB15:BB16"/>
    <mergeCell ref="AV4:AV5"/>
    <mergeCell ref="AW4:AW5"/>
    <mergeCell ref="AX4:AX5"/>
    <mergeCell ref="AY4:AY5"/>
    <mergeCell ref="AZ4:AZ5"/>
    <mergeCell ref="BC15:BC16"/>
    <mergeCell ref="BD15:BD16"/>
    <mergeCell ref="BE15:BE16"/>
    <mergeCell ref="BF15:BF16"/>
    <mergeCell ref="BH4:BH5"/>
    <mergeCell ref="BI4:BI5"/>
    <mergeCell ref="BJ4:BJ5"/>
    <mergeCell ref="BK4:BK5"/>
    <mergeCell ref="BL4:BL5"/>
    <mergeCell ref="BB4:BB5"/>
    <mergeCell ref="BC4:BC5"/>
    <mergeCell ref="BD4:BD5"/>
    <mergeCell ref="BN4:BN5"/>
    <mergeCell ref="BO4:BO5"/>
    <mergeCell ref="B24:B25"/>
    <mergeCell ref="C24:F24"/>
    <mergeCell ref="B2:F2"/>
    <mergeCell ref="B3:F3"/>
    <mergeCell ref="B4:B5"/>
    <mergeCell ref="C4:F4"/>
    <mergeCell ref="B23:F23"/>
    <mergeCell ref="I2:M2"/>
    <mergeCell ref="I4:I5"/>
    <mergeCell ref="J4:J5"/>
    <mergeCell ref="K4:K5"/>
    <mergeCell ref="L4:L5"/>
    <mergeCell ref="M4:M5"/>
    <mergeCell ref="I3:M3"/>
    <mergeCell ref="I13:M13"/>
    <mergeCell ref="I15:I16"/>
    <mergeCell ref="O2:S2"/>
    <mergeCell ref="O4:O5"/>
    <mergeCell ref="P4:P5"/>
    <mergeCell ref="Q4:Q5"/>
    <mergeCell ref="R4:R5"/>
    <mergeCell ref="S4:S5"/>
    <mergeCell ref="O3:S3"/>
    <mergeCell ref="AA3:AE3"/>
    <mergeCell ref="U4:U5"/>
    <mergeCell ref="V4:V5"/>
    <mergeCell ref="W4:W5"/>
    <mergeCell ref="X4:X5"/>
    <mergeCell ref="Y4:Y5"/>
    <mergeCell ref="AA4:AA5"/>
    <mergeCell ref="P15:P16"/>
    <mergeCell ref="Q15:Q16"/>
    <mergeCell ref="R15:R16"/>
    <mergeCell ref="S15:S16"/>
    <mergeCell ref="AG2:AS2"/>
    <mergeCell ref="AG3:AG4"/>
    <mergeCell ref="AH3:AJ3"/>
    <mergeCell ref="AK3:AM3"/>
    <mergeCell ref="AN3:AP3"/>
    <mergeCell ref="AQ3:AS3"/>
    <mergeCell ref="O14:S14"/>
    <mergeCell ref="O24:S24"/>
    <mergeCell ref="O25:S25"/>
    <mergeCell ref="AB4:AB5"/>
    <mergeCell ref="AC4:AC5"/>
    <mergeCell ref="AG20:AQ20"/>
    <mergeCell ref="AG21:AG22"/>
    <mergeCell ref="AH21:AJ21"/>
    <mergeCell ref="AK21:AM21"/>
    <mergeCell ref="AN21:AP21"/>
    <mergeCell ref="AQ21:AQ22"/>
    <mergeCell ref="AG11:AS11"/>
    <mergeCell ref="AG12:AG13"/>
    <mergeCell ref="AD4:AD5"/>
    <mergeCell ref="AE4:AE5"/>
    <mergeCell ref="U2:Y2"/>
    <mergeCell ref="AA2:AE2"/>
    <mergeCell ref="U3:Y3"/>
    <mergeCell ref="AH12:AJ12"/>
    <mergeCell ref="AK12:AM12"/>
    <mergeCell ref="AN12:AP12"/>
    <mergeCell ref="AQ12:AS12"/>
    <mergeCell ref="I14:M14"/>
    <mergeCell ref="O13:S13"/>
    <mergeCell ref="O15:O16"/>
    <mergeCell ref="P26:P27"/>
    <mergeCell ref="Q26:Q27"/>
    <mergeCell ref="R26:R27"/>
    <mergeCell ref="S26:S27"/>
    <mergeCell ref="O26:O27"/>
    <mergeCell ref="I24:M24"/>
    <mergeCell ref="I25:M25"/>
    <mergeCell ref="I26:I27"/>
    <mergeCell ref="J26:J27"/>
    <mergeCell ref="K26:K27"/>
    <mergeCell ref="L26:L27"/>
    <mergeCell ref="M26:M27"/>
    <mergeCell ref="I23:S23"/>
    <mergeCell ref="J15:J16"/>
    <mergeCell ref="K15:K16"/>
    <mergeCell ref="L15:L16"/>
    <mergeCell ref="M15:M16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43"/>
  <sheetViews>
    <sheetView topLeftCell="P7" workbookViewId="0">
      <selection activeCell="AH25" sqref="AH25"/>
    </sheetView>
  </sheetViews>
  <sheetFormatPr defaultRowHeight="14.4" x14ac:dyDescent="0.3"/>
  <cols>
    <col min="12" max="12" width="9.33203125" bestFit="1" customWidth="1"/>
    <col min="13" max="13" width="10.44140625" bestFit="1" customWidth="1"/>
    <col min="15" max="15" width="10.44140625" bestFit="1" customWidth="1"/>
    <col min="18" max="18" width="9.33203125" bestFit="1" customWidth="1"/>
    <col min="19" max="19" width="10.44140625" bestFit="1" customWidth="1"/>
    <col min="22" max="22" width="18.21875" bestFit="1" customWidth="1"/>
    <col min="23" max="23" width="10.44140625" bestFit="1" customWidth="1"/>
    <col min="24" max="24" width="8.88671875" bestFit="1" customWidth="1"/>
    <col min="25" max="25" width="10.44140625" bestFit="1" customWidth="1"/>
    <col min="26" max="28" width="8.88671875" bestFit="1" customWidth="1"/>
    <col min="29" max="29" width="10.44140625" bestFit="1" customWidth="1"/>
    <col min="30" max="31" width="8.88671875" bestFit="1" customWidth="1"/>
    <col min="32" max="32" width="10.44140625" bestFit="1" customWidth="1"/>
    <col min="33" max="33" width="8.88671875" bestFit="1" customWidth="1"/>
    <col min="34" max="34" width="10.44140625" bestFit="1" customWidth="1"/>
    <col min="40" max="40" width="9.33203125" bestFit="1" customWidth="1"/>
    <col min="41" max="41" width="10.44140625" bestFit="1" customWidth="1"/>
    <col min="43" max="43" width="10.44140625" bestFit="1" customWidth="1"/>
    <col min="46" max="46" width="9.33203125" bestFit="1" customWidth="1"/>
    <col min="47" max="47" width="10.44140625" bestFit="1" customWidth="1"/>
  </cols>
  <sheetData>
    <row r="1" spans="2:47" x14ac:dyDescent="0.3">
      <c r="I1" s="147" t="s">
        <v>228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  <c r="V1" s="147" t="s">
        <v>233</v>
      </c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K1" s="153" t="s">
        <v>228</v>
      </c>
      <c r="AL1" s="153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2:47" x14ac:dyDescent="0.3">
      <c r="B2" s="167" t="s">
        <v>161</v>
      </c>
      <c r="C2" s="167"/>
      <c r="D2" s="167"/>
      <c r="E2" s="167"/>
      <c r="F2" s="167"/>
      <c r="G2" s="44"/>
      <c r="I2" s="147" t="s">
        <v>162</v>
      </c>
      <c r="J2" s="147"/>
      <c r="K2" s="147"/>
      <c r="L2" s="147"/>
      <c r="M2" s="147"/>
      <c r="N2" s="103"/>
      <c r="O2" s="147" t="s">
        <v>163</v>
      </c>
      <c r="P2" s="147"/>
      <c r="Q2" s="147"/>
      <c r="R2" s="147"/>
      <c r="S2" s="147"/>
      <c r="V2" s="147" t="s">
        <v>168</v>
      </c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K2" s="153" t="s">
        <v>162</v>
      </c>
      <c r="AL2" s="153"/>
      <c r="AM2" s="153"/>
      <c r="AN2" s="153"/>
      <c r="AO2" s="153"/>
      <c r="AP2" s="27"/>
      <c r="AQ2" s="153" t="s">
        <v>163</v>
      </c>
      <c r="AR2" s="153"/>
      <c r="AS2" s="153"/>
      <c r="AT2" s="153"/>
      <c r="AU2" s="153"/>
    </row>
    <row r="3" spans="2:47" x14ac:dyDescent="0.3">
      <c r="B3" s="167" t="s">
        <v>117</v>
      </c>
      <c r="C3" s="167"/>
      <c r="D3" s="167"/>
      <c r="E3" s="167"/>
      <c r="F3" s="167"/>
      <c r="G3" s="44"/>
      <c r="I3" s="161" t="s">
        <v>164</v>
      </c>
      <c r="J3" s="161"/>
      <c r="K3" s="161"/>
      <c r="L3" s="161"/>
      <c r="M3" s="161"/>
      <c r="N3" s="103"/>
      <c r="O3" s="161" t="s">
        <v>164</v>
      </c>
      <c r="P3" s="161"/>
      <c r="Q3" s="161"/>
      <c r="R3" s="161"/>
      <c r="S3" s="161"/>
      <c r="V3" s="148" t="s">
        <v>131</v>
      </c>
      <c r="W3" s="149" t="s">
        <v>217</v>
      </c>
      <c r="X3" s="149"/>
      <c r="Y3" s="149"/>
      <c r="Z3" s="149" t="s">
        <v>215</v>
      </c>
      <c r="AA3" s="149"/>
      <c r="AB3" s="149"/>
      <c r="AC3" s="149" t="s">
        <v>216</v>
      </c>
      <c r="AD3" s="149"/>
      <c r="AE3" s="149"/>
      <c r="AF3" s="149" t="s">
        <v>126</v>
      </c>
      <c r="AG3" s="149"/>
      <c r="AH3" s="149"/>
      <c r="AK3" s="171" t="s">
        <v>164</v>
      </c>
      <c r="AL3" s="171"/>
      <c r="AM3" s="171"/>
      <c r="AN3" s="171"/>
      <c r="AO3" s="171"/>
      <c r="AP3" s="27"/>
      <c r="AQ3" s="171" t="s">
        <v>164</v>
      </c>
      <c r="AR3" s="171"/>
      <c r="AS3" s="171"/>
      <c r="AT3" s="171"/>
      <c r="AU3" s="171"/>
    </row>
    <row r="4" spans="2:47" x14ac:dyDescent="0.3">
      <c r="B4" s="167" t="s">
        <v>91</v>
      </c>
      <c r="C4" s="167" t="s">
        <v>92</v>
      </c>
      <c r="D4" s="167"/>
      <c r="E4" s="167"/>
      <c r="F4" s="167"/>
      <c r="G4" s="44"/>
      <c r="I4" s="148" t="s">
        <v>91</v>
      </c>
      <c r="J4" s="159" t="s">
        <v>142</v>
      </c>
      <c r="K4" s="159" t="s">
        <v>143</v>
      </c>
      <c r="L4" s="159" t="s">
        <v>144</v>
      </c>
      <c r="M4" s="159" t="s">
        <v>145</v>
      </c>
      <c r="N4" s="88"/>
      <c r="O4" s="148" t="s">
        <v>91</v>
      </c>
      <c r="P4" s="159" t="s">
        <v>142</v>
      </c>
      <c r="Q4" s="159" t="s">
        <v>143</v>
      </c>
      <c r="R4" s="159" t="s">
        <v>144</v>
      </c>
      <c r="S4" s="159" t="s">
        <v>145</v>
      </c>
      <c r="V4" s="148" t="s">
        <v>131</v>
      </c>
      <c r="W4" s="102" t="s">
        <v>3</v>
      </c>
      <c r="X4" s="102" t="s">
        <v>4</v>
      </c>
      <c r="Y4" s="102" t="s">
        <v>5</v>
      </c>
      <c r="Z4" s="102" t="s">
        <v>3</v>
      </c>
      <c r="AA4" s="102" t="s">
        <v>4</v>
      </c>
      <c r="AB4" s="102" t="s">
        <v>5</v>
      </c>
      <c r="AC4" s="102" t="s">
        <v>3</v>
      </c>
      <c r="AD4" s="102" t="s">
        <v>4</v>
      </c>
      <c r="AE4" s="102" t="s">
        <v>5</v>
      </c>
      <c r="AF4" s="102" t="s">
        <v>3</v>
      </c>
      <c r="AG4" s="102" t="s">
        <v>4</v>
      </c>
      <c r="AH4" s="102" t="s">
        <v>5</v>
      </c>
      <c r="AK4" s="154" t="s">
        <v>91</v>
      </c>
      <c r="AL4" s="170" t="s">
        <v>142</v>
      </c>
      <c r="AM4" s="170" t="s">
        <v>143</v>
      </c>
      <c r="AN4" s="170" t="s">
        <v>144</v>
      </c>
      <c r="AO4" s="170" t="s">
        <v>145</v>
      </c>
      <c r="AQ4" s="154" t="s">
        <v>91</v>
      </c>
      <c r="AR4" s="170" t="s">
        <v>142</v>
      </c>
      <c r="AS4" s="170" t="s">
        <v>143</v>
      </c>
      <c r="AT4" s="170" t="s">
        <v>144</v>
      </c>
      <c r="AU4" s="170" t="s">
        <v>145</v>
      </c>
    </row>
    <row r="5" spans="2:47" x14ac:dyDescent="0.3">
      <c r="B5" s="167"/>
      <c r="C5" s="44" t="s">
        <v>114</v>
      </c>
      <c r="D5" s="44" t="s">
        <v>115</v>
      </c>
      <c r="E5" s="44" t="s">
        <v>121</v>
      </c>
      <c r="F5" s="44" t="s">
        <v>122</v>
      </c>
      <c r="G5" s="44"/>
      <c r="I5" s="148"/>
      <c r="J5" s="159"/>
      <c r="K5" s="159" t="s">
        <v>116</v>
      </c>
      <c r="L5" s="159" t="s">
        <v>125</v>
      </c>
      <c r="M5" s="159"/>
      <c r="N5" s="88"/>
      <c r="O5" s="148"/>
      <c r="P5" s="159"/>
      <c r="Q5" s="159" t="s">
        <v>116</v>
      </c>
      <c r="R5" s="159" t="s">
        <v>125</v>
      </c>
      <c r="S5" s="159"/>
      <c r="V5" s="92" t="s">
        <v>165</v>
      </c>
      <c r="W5" s="97">
        <f>M6</f>
        <v>458825.52052446245</v>
      </c>
      <c r="X5" s="97">
        <f>M17</f>
        <v>140842.1785219443</v>
      </c>
      <c r="Y5" s="97">
        <f>W5+X5</f>
        <v>599667.69904640678</v>
      </c>
      <c r="Z5" s="97">
        <f>M7</f>
        <v>34352.301773692008</v>
      </c>
      <c r="AA5" s="97">
        <f>M18</f>
        <v>5004.0376667038236</v>
      </c>
      <c r="AB5" s="97">
        <f>Z5+AA5</f>
        <v>39356.33944039583</v>
      </c>
      <c r="AC5" s="97">
        <f>M8</f>
        <v>53583.500031979136</v>
      </c>
      <c r="AD5" s="97">
        <f>M19</f>
        <v>7458.5947535370224</v>
      </c>
      <c r="AE5" s="97">
        <f>AC5+AD5</f>
        <v>61042.094785516158</v>
      </c>
      <c r="AF5" s="97">
        <f>AC5+Z5+W5</f>
        <v>546761.32233013364</v>
      </c>
      <c r="AG5" s="97">
        <f>AD5+AA5+X5</f>
        <v>153304.81094218514</v>
      </c>
      <c r="AH5" s="97">
        <f>AE5+AB5+Y5</f>
        <v>700066.13327231875</v>
      </c>
      <c r="AI5" s="19">
        <f>AF5-M10</f>
        <v>0</v>
      </c>
      <c r="AJ5" s="19">
        <f>AG5-M21</f>
        <v>0</v>
      </c>
      <c r="AK5" s="154"/>
      <c r="AL5" s="170"/>
      <c r="AM5" s="170" t="s">
        <v>116</v>
      </c>
      <c r="AN5" s="170" t="s">
        <v>125</v>
      </c>
      <c r="AO5" s="170"/>
      <c r="AQ5" s="154"/>
      <c r="AR5" s="170"/>
      <c r="AS5" s="170" t="s">
        <v>116</v>
      </c>
      <c r="AT5" s="170" t="s">
        <v>125</v>
      </c>
      <c r="AU5" s="170"/>
    </row>
    <row r="6" spans="2:47" x14ac:dyDescent="0.3">
      <c r="B6" s="44">
        <f>'Quadros 8.4.1 a 8.4.4'!B14</f>
        <v>2018</v>
      </c>
      <c r="C6" s="76">
        <f>'Quadros 8.4.1 a 8.4.4'!AA7</f>
        <v>2905.0872721483042</v>
      </c>
      <c r="D6" s="76">
        <f>'Quadros 8.4.1 a 8.4.4'!AB7</f>
        <v>2905.0872721483042</v>
      </c>
      <c r="E6" s="76">
        <f>'Quadros 8.4.1 a 8.4.4'!AC7</f>
        <v>3058.8368034964165</v>
      </c>
      <c r="F6" s="76">
        <f>'Quadros 8.4.1 a 8.4.4'!AD7</f>
        <v>153.74953134811221</v>
      </c>
      <c r="G6" s="44"/>
      <c r="I6" s="63">
        <f>B6</f>
        <v>2018</v>
      </c>
      <c r="J6" s="62">
        <f>E6</f>
        <v>3058.8368034964165</v>
      </c>
      <c r="K6" s="62">
        <f>J6</f>
        <v>3058.8368034964165</v>
      </c>
      <c r="L6" s="54">
        <v>150</v>
      </c>
      <c r="M6" s="63">
        <f>K6*L6</f>
        <v>458825.52052446245</v>
      </c>
      <c r="N6" s="88"/>
      <c r="O6" s="63">
        <f>I6</f>
        <v>2018</v>
      </c>
      <c r="P6" s="63">
        <f>J6</f>
        <v>3058.8368034964165</v>
      </c>
      <c r="Q6" s="62">
        <f>P8*0.1</f>
        <v>364.50754822008912</v>
      </c>
      <c r="R6" s="54">
        <f>L6</f>
        <v>150</v>
      </c>
      <c r="S6" s="63">
        <f>Q6*R6</f>
        <v>54676.13223301337</v>
      </c>
      <c r="V6" s="92" t="s">
        <v>166</v>
      </c>
      <c r="W6" s="97">
        <f>M28</f>
        <v>137647.65615733873</v>
      </c>
      <c r="X6" s="97">
        <f>M39</f>
        <v>42252.653556583289</v>
      </c>
      <c r="Y6" s="97">
        <f t="shared" ref="Y6:Y8" si="0">W6+X6</f>
        <v>179900.30971392203</v>
      </c>
      <c r="Z6" s="97">
        <f>M29</f>
        <v>10305.690532107603</v>
      </c>
      <c r="AA6" s="97">
        <f>M40</f>
        <v>1501.2113000111469</v>
      </c>
      <c r="AB6" s="97">
        <f t="shared" ref="AB6:AB8" si="1">Z6+AA6</f>
        <v>11806.90183211875</v>
      </c>
      <c r="AC6" s="97">
        <f>M30</f>
        <v>16075.05000959374</v>
      </c>
      <c r="AD6" s="97">
        <f>M41</f>
        <v>2237.5784260611067</v>
      </c>
      <c r="AE6" s="97">
        <f t="shared" ref="AE6:AE8" si="2">AC6+AD6</f>
        <v>18312.628435654846</v>
      </c>
      <c r="AF6" s="97">
        <f t="shared" ref="AF6:AH7" si="3">AC6+Z6+W6</f>
        <v>164028.39669904008</v>
      </c>
      <c r="AG6" s="97">
        <f t="shared" si="3"/>
        <v>45991.443282655542</v>
      </c>
      <c r="AH6" s="97">
        <f t="shared" si="3"/>
        <v>210019.83998169564</v>
      </c>
      <c r="AI6" s="19">
        <f>AF6-M32</f>
        <v>0</v>
      </c>
      <c r="AJ6" s="19">
        <f>AG6-M43</f>
        <v>0</v>
      </c>
      <c r="AK6" s="21"/>
      <c r="AL6" s="22"/>
      <c r="AM6" s="22"/>
      <c r="AN6" s="23"/>
      <c r="AO6" s="22"/>
      <c r="AQ6" s="21"/>
      <c r="AR6" s="22"/>
      <c r="AS6" s="22"/>
      <c r="AT6" s="23"/>
      <c r="AU6" s="22"/>
    </row>
    <row r="7" spans="2:47" x14ac:dyDescent="0.3">
      <c r="B7" s="44">
        <f>B6+5</f>
        <v>2023</v>
      </c>
      <c r="C7" s="76">
        <f>'Quadros 8.4.1 a 8.4.4'!AA8</f>
        <v>3058.8368034964165</v>
      </c>
      <c r="D7" s="76">
        <f>'Quadros 8.4.1 a 8.4.4'!AB8</f>
        <v>3058.8368034964165</v>
      </c>
      <c r="E7" s="76">
        <f>'Quadros 8.4.1 a 8.4.4'!AC8</f>
        <v>3287.8521486543632</v>
      </c>
      <c r="F7" s="76">
        <f>'Quadros 8.4.1 a 8.4.4'!AD8</f>
        <v>229.01534515794674</v>
      </c>
      <c r="G7" s="44"/>
      <c r="I7" s="63">
        <f>I6+5</f>
        <v>2023</v>
      </c>
      <c r="J7" s="62">
        <f>E7</f>
        <v>3287.8521486543632</v>
      </c>
      <c r="K7" s="62">
        <f>J7-K6</f>
        <v>229.01534515794674</v>
      </c>
      <c r="L7" s="54">
        <f>L6</f>
        <v>150</v>
      </c>
      <c r="M7" s="63">
        <f>K7*L7</f>
        <v>34352.301773692008</v>
      </c>
      <c r="N7" s="88"/>
      <c r="O7" s="63">
        <f>O6+5</f>
        <v>2023</v>
      </c>
      <c r="P7" s="63">
        <f>J7</f>
        <v>3287.8521486543632</v>
      </c>
      <c r="Q7" s="62">
        <f>P8*0.1</f>
        <v>364.50754822008912</v>
      </c>
      <c r="R7" s="54">
        <f>L7</f>
        <v>150</v>
      </c>
      <c r="S7" s="63">
        <f>Q7*R7</f>
        <v>54676.13223301337</v>
      </c>
      <c r="V7" s="92" t="s">
        <v>167</v>
      </c>
      <c r="W7" s="97">
        <v>450000</v>
      </c>
      <c r="X7" s="97"/>
      <c r="Y7" s="97">
        <f t="shared" si="0"/>
        <v>450000</v>
      </c>
      <c r="Z7" s="97"/>
      <c r="AA7" s="97"/>
      <c r="AB7" s="97">
        <f t="shared" si="1"/>
        <v>0</v>
      </c>
      <c r="AC7" s="97"/>
      <c r="AD7" s="97"/>
      <c r="AE7" s="97">
        <f t="shared" si="2"/>
        <v>0</v>
      </c>
      <c r="AF7" s="97">
        <f t="shared" ref="AF7" si="4">AC7+Z7+W7</f>
        <v>450000</v>
      </c>
      <c r="AG7" s="97">
        <f t="shared" ref="AG7" si="5">AD7+AA7+X7</f>
        <v>0</v>
      </c>
      <c r="AH7" s="97">
        <f t="shared" si="3"/>
        <v>450000</v>
      </c>
      <c r="AK7" s="21"/>
      <c r="AL7" s="22"/>
      <c r="AM7" s="22"/>
      <c r="AN7" s="23"/>
      <c r="AO7" s="22"/>
      <c r="AQ7" s="21"/>
      <c r="AR7" s="22"/>
      <c r="AS7" s="22"/>
      <c r="AT7" s="23"/>
      <c r="AU7" s="22"/>
    </row>
    <row r="8" spans="2:47" x14ac:dyDescent="0.3">
      <c r="B8" s="44">
        <f>B7+5</f>
        <v>2028</v>
      </c>
      <c r="C8" s="76">
        <f>'Quadros 8.4.1 a 8.4.4'!AA9</f>
        <v>3287.8521486543632</v>
      </c>
      <c r="D8" s="76">
        <f>'Quadros 8.4.1 a 8.4.4'!AB9</f>
        <v>3287.8521486543632</v>
      </c>
      <c r="E8" s="76">
        <f>'Quadros 8.4.1 a 8.4.4'!AC9</f>
        <v>3645.0754822008907</v>
      </c>
      <c r="F8" s="76">
        <f>'Quadros 8.4.1 a 8.4.4'!AD9</f>
        <v>357.22333354652756</v>
      </c>
      <c r="G8" s="44"/>
      <c r="I8" s="63">
        <f>I7+5</f>
        <v>2028</v>
      </c>
      <c r="J8" s="62">
        <f>E8</f>
        <v>3645.0754822008907</v>
      </c>
      <c r="K8" s="62">
        <f>J8-K7-K6</f>
        <v>357.22333354652756</v>
      </c>
      <c r="L8" s="54">
        <f>L7</f>
        <v>150</v>
      </c>
      <c r="M8" s="63">
        <f>K8*L8</f>
        <v>53583.500031979136</v>
      </c>
      <c r="N8" s="88"/>
      <c r="O8" s="63">
        <f>O7+5</f>
        <v>2028</v>
      </c>
      <c r="P8" s="63">
        <f>J8</f>
        <v>3645.0754822008907</v>
      </c>
      <c r="Q8" s="62">
        <f>P8*0.2</f>
        <v>729.01509644017824</v>
      </c>
      <c r="R8" s="54">
        <f>L8</f>
        <v>150</v>
      </c>
      <c r="S8" s="63">
        <f>Q8*R8</f>
        <v>109352.26446602674</v>
      </c>
      <c r="V8" s="92" t="s">
        <v>250</v>
      </c>
      <c r="W8" s="97"/>
      <c r="X8" s="97"/>
      <c r="Y8" s="97">
        <f t="shared" si="0"/>
        <v>0</v>
      </c>
      <c r="Z8" s="97"/>
      <c r="AA8" s="97"/>
      <c r="AB8" s="97">
        <f t="shared" si="1"/>
        <v>0</v>
      </c>
      <c r="AC8" s="97"/>
      <c r="AD8" s="97"/>
      <c r="AE8" s="97">
        <f t="shared" si="2"/>
        <v>0</v>
      </c>
      <c r="AF8" s="97">
        <f t="shared" ref="AF8" si="6">AC8+Z8+W8</f>
        <v>0</v>
      </c>
      <c r="AG8" s="97">
        <f t="shared" ref="AG8" si="7">AD8+AA8+X8</f>
        <v>0</v>
      </c>
      <c r="AH8" s="97">
        <f t="shared" ref="AH8" si="8">AE8+AB8+Y8</f>
        <v>0</v>
      </c>
      <c r="AK8" s="21"/>
      <c r="AL8" s="22"/>
      <c r="AM8" s="22"/>
      <c r="AN8" s="23"/>
      <c r="AO8" s="22"/>
      <c r="AQ8" s="21"/>
      <c r="AR8" s="22"/>
      <c r="AS8" s="22"/>
      <c r="AT8" s="23"/>
      <c r="AU8" s="22"/>
    </row>
    <row r="9" spans="2:47" x14ac:dyDescent="0.3">
      <c r="B9" s="44">
        <f>B8+10</f>
        <v>2038</v>
      </c>
      <c r="C9" s="76">
        <f>'Quadros 8.4.1 a 8.4.4'!AA10</f>
        <v>3645.0754822008907</v>
      </c>
      <c r="D9" s="76">
        <f>'Quadros 8.4.1 a 8.4.4'!AB10</f>
        <v>3645.0754822008907</v>
      </c>
      <c r="E9" s="76">
        <f>'Quadros 8.4.1 a 8.4.4'!AC10</f>
        <v>3645.0754822008907</v>
      </c>
      <c r="F9" s="76">
        <f>'Quadros 8.4.1 a 8.4.4'!AD10</f>
        <v>0</v>
      </c>
      <c r="G9" s="44"/>
      <c r="I9" s="63">
        <f>I8+10</f>
        <v>2038</v>
      </c>
      <c r="J9" s="60"/>
      <c r="K9" s="60"/>
      <c r="L9" s="60"/>
      <c r="M9" s="60"/>
      <c r="N9" s="88"/>
      <c r="O9" s="63">
        <f>O8+10</f>
        <v>2038</v>
      </c>
      <c r="P9" s="60"/>
      <c r="Q9" s="60"/>
      <c r="R9" s="60"/>
      <c r="S9" s="60"/>
      <c r="V9" s="92" t="s">
        <v>126</v>
      </c>
      <c r="W9" s="106">
        <f t="shared" ref="W9:AH9" si="9">SUM(W5:W8)</f>
        <v>1046473.1766818012</v>
      </c>
      <c r="X9" s="106">
        <f t="shared" si="9"/>
        <v>183094.8320785276</v>
      </c>
      <c r="Y9" s="106">
        <f t="shared" si="9"/>
        <v>1229568.0087603289</v>
      </c>
      <c r="Z9" s="106">
        <f t="shared" si="9"/>
        <v>44657.992305799613</v>
      </c>
      <c r="AA9" s="106">
        <f t="shared" si="9"/>
        <v>6505.2489667149703</v>
      </c>
      <c r="AB9" s="106">
        <f t="shared" si="9"/>
        <v>51163.241272514584</v>
      </c>
      <c r="AC9" s="106">
        <f t="shared" si="9"/>
        <v>69658.550041572875</v>
      </c>
      <c r="AD9" s="106">
        <f t="shared" si="9"/>
        <v>9696.1731795981286</v>
      </c>
      <c r="AE9" s="106">
        <f t="shared" si="9"/>
        <v>79354.723221171007</v>
      </c>
      <c r="AF9" s="106">
        <f t="shared" si="9"/>
        <v>1160789.7190291737</v>
      </c>
      <c r="AG9" s="106">
        <f t="shared" si="9"/>
        <v>199296.25422484067</v>
      </c>
      <c r="AH9" s="106">
        <f t="shared" si="9"/>
        <v>1360085.9732540143</v>
      </c>
      <c r="AK9" s="21"/>
      <c r="AL9" s="21"/>
      <c r="AM9" s="21"/>
      <c r="AN9" s="21"/>
      <c r="AO9" s="21"/>
      <c r="AQ9" s="21"/>
      <c r="AR9" s="21"/>
      <c r="AS9" s="21"/>
      <c r="AT9" s="21"/>
      <c r="AU9" s="21"/>
    </row>
    <row r="10" spans="2:47" x14ac:dyDescent="0.3">
      <c r="B10" s="44"/>
      <c r="C10" s="44"/>
      <c r="D10" s="44"/>
      <c r="E10" s="44"/>
      <c r="F10" s="44"/>
      <c r="G10" s="77">
        <f>C6+F6+F7+F8</f>
        <v>3645.0754822008907</v>
      </c>
      <c r="I10" s="60" t="s">
        <v>126</v>
      </c>
      <c r="J10" s="60"/>
      <c r="K10" s="63">
        <f>SUM(K6:K9)</f>
        <v>3645.0754822008907</v>
      </c>
      <c r="L10" s="60"/>
      <c r="M10" s="63">
        <f>SUM(M6:M9)</f>
        <v>546761.32233013364</v>
      </c>
      <c r="N10" s="88"/>
      <c r="O10" s="60" t="s">
        <v>126</v>
      </c>
      <c r="P10" s="60"/>
      <c r="Q10" s="63">
        <f>SUM(Q6:Q9)</f>
        <v>1458.0301928803565</v>
      </c>
      <c r="R10" s="60"/>
      <c r="S10" s="63">
        <f>SUM(S6:S9)</f>
        <v>218704.52893205348</v>
      </c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K10" s="21" t="s">
        <v>126</v>
      </c>
      <c r="AL10" s="21"/>
      <c r="AM10" s="22"/>
      <c r="AN10" s="21"/>
      <c r="AO10" s="22"/>
      <c r="AQ10" s="21" t="s">
        <v>126</v>
      </c>
      <c r="AR10" s="21"/>
      <c r="AS10" s="22"/>
      <c r="AT10" s="21"/>
      <c r="AU10" s="22"/>
    </row>
    <row r="11" spans="2:47" x14ac:dyDescent="0.3">
      <c r="B11" s="44"/>
      <c r="C11" s="44"/>
      <c r="D11" s="44"/>
      <c r="E11" s="44"/>
      <c r="F11" s="44"/>
      <c r="G11" s="77"/>
      <c r="I11" s="88"/>
      <c r="J11" s="88"/>
      <c r="K11" s="88"/>
      <c r="L11" s="88"/>
      <c r="M11" s="88"/>
      <c r="N11" s="88"/>
      <c r="O11" s="109"/>
      <c r="P11" s="88"/>
      <c r="Q11" s="88"/>
      <c r="R11" s="88"/>
      <c r="S11" s="88"/>
      <c r="V11" s="147" t="s">
        <v>169</v>
      </c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K11" s="30"/>
      <c r="AL11" s="30"/>
      <c r="AM11" s="31"/>
      <c r="AN11" s="30"/>
      <c r="AO11" s="31"/>
      <c r="AQ11" s="30"/>
      <c r="AR11" s="30"/>
      <c r="AS11" s="31"/>
      <c r="AT11" s="30"/>
      <c r="AU11" s="31"/>
    </row>
    <row r="12" spans="2:47" x14ac:dyDescent="0.3">
      <c r="B12" s="167" t="s">
        <v>118</v>
      </c>
      <c r="C12" s="167"/>
      <c r="D12" s="167"/>
      <c r="E12" s="167"/>
      <c r="F12" s="167"/>
      <c r="G12" s="44"/>
      <c r="I12" s="147" t="s">
        <v>227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V12" s="148" t="s">
        <v>131</v>
      </c>
      <c r="W12" s="149" t="s">
        <v>217</v>
      </c>
      <c r="X12" s="149"/>
      <c r="Y12" s="149"/>
      <c r="Z12" s="149" t="s">
        <v>215</v>
      </c>
      <c r="AA12" s="149"/>
      <c r="AB12" s="149"/>
      <c r="AC12" s="149" t="s">
        <v>216</v>
      </c>
      <c r="AD12" s="149"/>
      <c r="AE12" s="149"/>
      <c r="AF12" s="149" t="s">
        <v>126</v>
      </c>
      <c r="AG12" s="149"/>
      <c r="AH12" s="149"/>
      <c r="AK12" s="153" t="s">
        <v>227</v>
      </c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</row>
    <row r="13" spans="2:47" x14ac:dyDescent="0.3">
      <c r="B13" s="167" t="s">
        <v>91</v>
      </c>
      <c r="C13" s="167" t="s">
        <v>92</v>
      </c>
      <c r="D13" s="167"/>
      <c r="E13" s="167"/>
      <c r="F13" s="167"/>
      <c r="G13" s="44"/>
      <c r="I13" s="147" t="s">
        <v>189</v>
      </c>
      <c r="J13" s="147"/>
      <c r="K13" s="147"/>
      <c r="L13" s="147"/>
      <c r="M13" s="147"/>
      <c r="N13" s="103"/>
      <c r="O13" s="147" t="s">
        <v>190</v>
      </c>
      <c r="P13" s="147"/>
      <c r="Q13" s="147"/>
      <c r="R13" s="147"/>
      <c r="S13" s="147"/>
      <c r="V13" s="148" t="s">
        <v>131</v>
      </c>
      <c r="W13" s="102" t="s">
        <v>3</v>
      </c>
      <c r="X13" s="102" t="s">
        <v>4</v>
      </c>
      <c r="Y13" s="102" t="s">
        <v>5</v>
      </c>
      <c r="Z13" s="102" t="s">
        <v>3</v>
      </c>
      <c r="AA13" s="102" t="s">
        <v>4</v>
      </c>
      <c r="AB13" s="102" t="s">
        <v>5</v>
      </c>
      <c r="AC13" s="102" t="s">
        <v>3</v>
      </c>
      <c r="AD13" s="102" t="s">
        <v>4</v>
      </c>
      <c r="AE13" s="102" t="s">
        <v>5</v>
      </c>
      <c r="AF13" s="102" t="s">
        <v>3</v>
      </c>
      <c r="AG13" s="102" t="s">
        <v>4</v>
      </c>
      <c r="AH13" s="102" t="s">
        <v>5</v>
      </c>
      <c r="AK13" s="153" t="s">
        <v>189</v>
      </c>
      <c r="AL13" s="153"/>
      <c r="AM13" s="153"/>
      <c r="AN13" s="153"/>
      <c r="AO13" s="153"/>
      <c r="AP13" s="27"/>
      <c r="AQ13" s="153" t="s">
        <v>190</v>
      </c>
      <c r="AR13" s="153"/>
      <c r="AS13" s="153"/>
      <c r="AT13" s="153"/>
      <c r="AU13" s="153"/>
    </row>
    <row r="14" spans="2:47" x14ac:dyDescent="0.3">
      <c r="B14" s="167"/>
      <c r="C14" s="44" t="s">
        <v>114</v>
      </c>
      <c r="D14" s="44" t="s">
        <v>115</v>
      </c>
      <c r="E14" s="44" t="s">
        <v>121</v>
      </c>
      <c r="F14" s="44" t="s">
        <v>122</v>
      </c>
      <c r="G14" s="44"/>
      <c r="I14" s="161" t="s">
        <v>164</v>
      </c>
      <c r="J14" s="161"/>
      <c r="K14" s="161"/>
      <c r="L14" s="161"/>
      <c r="M14" s="161"/>
      <c r="N14" s="103"/>
      <c r="O14" s="161" t="s">
        <v>164</v>
      </c>
      <c r="P14" s="161"/>
      <c r="Q14" s="161"/>
      <c r="R14" s="161"/>
      <c r="S14" s="161"/>
      <c r="V14" s="92" t="s">
        <v>165</v>
      </c>
      <c r="W14" s="97">
        <f>S6</f>
        <v>54676.13223301337</v>
      </c>
      <c r="X14" s="97">
        <f>S17</f>
        <v>15330.481094218516</v>
      </c>
      <c r="Y14" s="97">
        <f>W14+X14</f>
        <v>70006.613327231884</v>
      </c>
      <c r="Z14" s="97">
        <f>S7</f>
        <v>54676.13223301337</v>
      </c>
      <c r="AA14" s="97">
        <f>S18</f>
        <v>15330.481094218516</v>
      </c>
      <c r="AB14" s="97">
        <f>Z14+AA14</f>
        <v>70006.613327231884</v>
      </c>
      <c r="AC14" s="97">
        <f>S8</f>
        <v>109352.26446602674</v>
      </c>
      <c r="AD14" s="97">
        <f>S19</f>
        <v>30660.962188437032</v>
      </c>
      <c r="AE14" s="97">
        <f>AC14+AD14</f>
        <v>140013.22665446377</v>
      </c>
      <c r="AF14" s="97">
        <f>AC14+Z14+W14</f>
        <v>218704.52893205348</v>
      </c>
      <c r="AG14" s="97">
        <f>AD14+AA14+X14</f>
        <v>61321.924376874063</v>
      </c>
      <c r="AH14" s="97">
        <f>AE14+AB14+Y14</f>
        <v>280026.45330892754</v>
      </c>
      <c r="AK14" s="171" t="s">
        <v>164</v>
      </c>
      <c r="AL14" s="171"/>
      <c r="AM14" s="171"/>
      <c r="AN14" s="171"/>
      <c r="AO14" s="171"/>
      <c r="AP14" s="27"/>
      <c r="AQ14" s="171" t="s">
        <v>164</v>
      </c>
      <c r="AR14" s="171"/>
      <c r="AS14" s="171"/>
      <c r="AT14" s="171"/>
      <c r="AU14" s="171"/>
    </row>
    <row r="15" spans="2:47" x14ac:dyDescent="0.3">
      <c r="B15" s="44">
        <f>B6</f>
        <v>2018</v>
      </c>
      <c r="C15" s="76">
        <f>'Quadros 8.4.1 a 8.4.4'!AA15</f>
        <v>0</v>
      </c>
      <c r="D15" s="76">
        <f>'Quadros 8.4.1 a 8.4.4'!AB15</f>
        <v>915.82219865438469</v>
      </c>
      <c r="E15" s="76">
        <f>'Quadros 8.4.1 a 8.4.4'!AC15</f>
        <v>234.73696420324049</v>
      </c>
      <c r="F15" s="76">
        <f>'Quadros 8.4.1 a 8.4.4'!AD15</f>
        <v>234.73696420324049</v>
      </c>
      <c r="G15" s="44"/>
      <c r="I15" s="148" t="s">
        <v>91</v>
      </c>
      <c r="J15" s="159" t="s">
        <v>142</v>
      </c>
      <c r="K15" s="159" t="s">
        <v>143</v>
      </c>
      <c r="L15" s="159" t="s">
        <v>144</v>
      </c>
      <c r="M15" s="159" t="s">
        <v>145</v>
      </c>
      <c r="N15" s="88"/>
      <c r="O15" s="148" t="s">
        <v>91</v>
      </c>
      <c r="P15" s="159" t="s">
        <v>142</v>
      </c>
      <c r="Q15" s="159" t="s">
        <v>143</v>
      </c>
      <c r="R15" s="159" t="s">
        <v>144</v>
      </c>
      <c r="S15" s="159" t="s">
        <v>145</v>
      </c>
      <c r="V15" s="92" t="s">
        <v>166</v>
      </c>
      <c r="W15" s="97">
        <f>S28</f>
        <v>16402.839669904009</v>
      </c>
      <c r="X15" s="97">
        <f>S39</f>
        <v>4599.1443282655546</v>
      </c>
      <c r="Y15" s="97">
        <f t="shared" ref="Y15:Y17" si="10">W15+X15</f>
        <v>21001.983998169562</v>
      </c>
      <c r="Z15" s="97">
        <f>S29</f>
        <v>16402.839669904009</v>
      </c>
      <c r="AA15" s="97">
        <f>S40</f>
        <v>4599.1443282655546</v>
      </c>
      <c r="AB15" s="97">
        <f t="shared" ref="AB15:AB17" si="11">Z15+AA15</f>
        <v>21001.983998169562</v>
      </c>
      <c r="AC15" s="97">
        <f>S30</f>
        <v>32805.679339808019</v>
      </c>
      <c r="AD15" s="97">
        <f>S41</f>
        <v>9198.2886565311092</v>
      </c>
      <c r="AE15" s="97">
        <f t="shared" ref="AE15:AE17" si="12">AC15+AD15</f>
        <v>42003.967996339125</v>
      </c>
      <c r="AF15" s="97">
        <f t="shared" ref="AF15:AH16" si="13">AC15+Z15+W15</f>
        <v>65611.358679616038</v>
      </c>
      <c r="AG15" s="97">
        <f t="shared" si="13"/>
        <v>18396.577313062218</v>
      </c>
      <c r="AH15" s="97">
        <f t="shared" si="13"/>
        <v>84007.935992678249</v>
      </c>
      <c r="AI15" s="19">
        <f>AF14-S10</f>
        <v>0</v>
      </c>
      <c r="AJ15" s="19">
        <f>AG14-S21</f>
        <v>0</v>
      </c>
      <c r="AK15" s="154" t="s">
        <v>91</v>
      </c>
      <c r="AL15" s="170" t="s">
        <v>142</v>
      </c>
      <c r="AM15" s="170" t="s">
        <v>143</v>
      </c>
      <c r="AN15" s="170" t="s">
        <v>144</v>
      </c>
      <c r="AO15" s="170" t="s">
        <v>145</v>
      </c>
      <c r="AQ15" s="154" t="s">
        <v>91</v>
      </c>
      <c r="AR15" s="170" t="s">
        <v>142</v>
      </c>
      <c r="AS15" s="170" t="s">
        <v>143</v>
      </c>
      <c r="AT15" s="170" t="s">
        <v>144</v>
      </c>
      <c r="AU15" s="170" t="s">
        <v>145</v>
      </c>
    </row>
    <row r="16" spans="2:47" x14ac:dyDescent="0.3">
      <c r="B16" s="44">
        <f>B15+5</f>
        <v>2023</v>
      </c>
      <c r="C16" s="76">
        <f>'Quadros 8.4.1 a 8.4.4'!AA16</f>
        <v>234.73696420324049</v>
      </c>
      <c r="D16" s="76">
        <f>'Quadros 8.4.1 a 8.4.4'!AB16</f>
        <v>938.94785681296196</v>
      </c>
      <c r="E16" s="76">
        <f>'Quadros 8.4.1 a 8.4.4'!AC16</f>
        <v>486.15405396216039</v>
      </c>
      <c r="F16" s="76">
        <f>'Quadros 8.4.1 a 8.4.4'!AD16</f>
        <v>251.4170897589199</v>
      </c>
      <c r="G16" s="44"/>
      <c r="I16" s="148"/>
      <c r="J16" s="159"/>
      <c r="K16" s="159" t="s">
        <v>116</v>
      </c>
      <c r="L16" s="159" t="s">
        <v>125</v>
      </c>
      <c r="M16" s="159"/>
      <c r="N16" s="88"/>
      <c r="O16" s="148"/>
      <c r="P16" s="159"/>
      <c r="Q16" s="159" t="s">
        <v>116</v>
      </c>
      <c r="R16" s="159" t="s">
        <v>125</v>
      </c>
      <c r="S16" s="159"/>
      <c r="V16" s="92" t="s">
        <v>167</v>
      </c>
      <c r="W16" s="97"/>
      <c r="X16" s="97"/>
      <c r="Y16" s="97">
        <f t="shared" si="10"/>
        <v>0</v>
      </c>
      <c r="Z16" s="97"/>
      <c r="AA16" s="97"/>
      <c r="AB16" s="97">
        <f t="shared" si="11"/>
        <v>0</v>
      </c>
      <c r="AC16" s="97">
        <f>W7*0.7</f>
        <v>315000</v>
      </c>
      <c r="AD16" s="97"/>
      <c r="AE16" s="97">
        <f t="shared" si="12"/>
        <v>315000</v>
      </c>
      <c r="AF16" s="97">
        <f t="shared" ref="AF16" si="14">AC16+Z16+W16</f>
        <v>315000</v>
      </c>
      <c r="AG16" s="97">
        <f t="shared" ref="AG16" si="15">AD16+AA16+X16</f>
        <v>0</v>
      </c>
      <c r="AH16" s="97">
        <f t="shared" si="13"/>
        <v>315000</v>
      </c>
      <c r="AI16" s="19">
        <f>AF15-S32</f>
        <v>0</v>
      </c>
      <c r="AJ16" s="19">
        <f>AG15-S43</f>
        <v>0</v>
      </c>
      <c r="AK16" s="154"/>
      <c r="AL16" s="170"/>
      <c r="AM16" s="170" t="s">
        <v>116</v>
      </c>
      <c r="AN16" s="170" t="s">
        <v>125</v>
      </c>
      <c r="AO16" s="170"/>
      <c r="AQ16" s="154"/>
      <c r="AR16" s="170"/>
      <c r="AS16" s="170" t="s">
        <v>116</v>
      </c>
      <c r="AT16" s="170" t="s">
        <v>125</v>
      </c>
      <c r="AU16" s="170"/>
    </row>
    <row r="17" spans="2:47" x14ac:dyDescent="0.3">
      <c r="B17" s="44">
        <f>B16+5</f>
        <v>2028</v>
      </c>
      <c r="C17" s="76">
        <f>'Quadros 8.4.1 a 8.4.4'!AA17</f>
        <v>486.15405396216039</v>
      </c>
      <c r="D17" s="76">
        <f>'Quadros 8.4.1 a 8.4.4'!AB17</f>
        <v>972.30810792432078</v>
      </c>
      <c r="E17" s="76">
        <f>'Quadros 8.4.1 a 8.4.4'!AC17</f>
        <v>1022.0320729479009</v>
      </c>
      <c r="F17" s="76">
        <f>'Quadros 8.4.1 a 8.4.4'!AD17</f>
        <v>535.87801898574048</v>
      </c>
      <c r="G17" s="44"/>
      <c r="I17" s="63">
        <f>B6</f>
        <v>2018</v>
      </c>
      <c r="J17" s="62">
        <f>D16</f>
        <v>938.94785681296196</v>
      </c>
      <c r="K17" s="62">
        <f>J17</f>
        <v>938.94785681296196</v>
      </c>
      <c r="L17" s="54">
        <f>L6</f>
        <v>150</v>
      </c>
      <c r="M17" s="63">
        <f>K17*L17</f>
        <v>140842.1785219443</v>
      </c>
      <c r="N17" s="88"/>
      <c r="O17" s="63">
        <f>O6</f>
        <v>2018</v>
      </c>
      <c r="P17" s="63">
        <f>J17</f>
        <v>938.94785681296196</v>
      </c>
      <c r="Q17" s="62">
        <f>P19*0.1</f>
        <v>102.2032072947901</v>
      </c>
      <c r="R17" s="54">
        <f>L17</f>
        <v>150</v>
      </c>
      <c r="S17" s="63">
        <f>Q17*R17</f>
        <v>15330.481094218516</v>
      </c>
      <c r="V17" s="92" t="s">
        <v>250</v>
      </c>
      <c r="W17" s="97"/>
      <c r="X17" s="97"/>
      <c r="Y17" s="97">
        <f t="shared" si="10"/>
        <v>0</v>
      </c>
      <c r="Z17" s="97"/>
      <c r="AA17" s="97"/>
      <c r="AB17" s="97">
        <f t="shared" si="11"/>
        <v>0</v>
      </c>
      <c r="AC17" s="97"/>
      <c r="AD17" s="97"/>
      <c r="AE17" s="97">
        <f t="shared" si="12"/>
        <v>0</v>
      </c>
      <c r="AF17" s="97">
        <f t="shared" ref="AF17" si="16">AC17+Z17+W17</f>
        <v>0</v>
      </c>
      <c r="AG17" s="97">
        <f t="shared" ref="AG17" si="17">AD17+AA17+X17</f>
        <v>0</v>
      </c>
      <c r="AH17" s="97">
        <f t="shared" ref="AH17" si="18">AE17+AB17+Y17</f>
        <v>0</v>
      </c>
      <c r="AJ17" s="64"/>
      <c r="AK17" s="33"/>
      <c r="AL17" s="33"/>
      <c r="AM17" s="33"/>
      <c r="AN17" s="55"/>
      <c r="AO17" s="33"/>
      <c r="AP17" s="64"/>
      <c r="AQ17" s="21"/>
      <c r="AR17" s="22"/>
      <c r="AS17" s="22"/>
      <c r="AT17" s="23"/>
      <c r="AU17" s="22"/>
    </row>
    <row r="18" spans="2:47" x14ac:dyDescent="0.3">
      <c r="B18" s="44">
        <f>B17+10</f>
        <v>2038</v>
      </c>
      <c r="C18" s="76">
        <f>'Quadros 8.4.1 a 8.4.4'!AA18</f>
        <v>1022.0320729479008</v>
      </c>
      <c r="D18" s="76">
        <f>'Quadros 8.4.1 a 8.4.4'!AB18</f>
        <v>1022.0320729479009</v>
      </c>
      <c r="E18" s="76">
        <f>'Quadros 8.4.1 a 8.4.4'!AC18</f>
        <v>1022.0320729479009</v>
      </c>
      <c r="F18" s="76">
        <f>'Quadros 8.4.1 a 8.4.4'!AD18</f>
        <v>0</v>
      </c>
      <c r="G18" s="44"/>
      <c r="I18" s="63">
        <f>I17+5</f>
        <v>2023</v>
      </c>
      <c r="J18" s="62">
        <f>D17</f>
        <v>972.30810792432078</v>
      </c>
      <c r="K18" s="62">
        <f>J18-K17</f>
        <v>33.360251111358821</v>
      </c>
      <c r="L18" s="54">
        <f>L17</f>
        <v>150</v>
      </c>
      <c r="M18" s="63">
        <f>K18*L18</f>
        <v>5004.0376667038236</v>
      </c>
      <c r="N18" s="88"/>
      <c r="O18" s="63">
        <f>O17+5</f>
        <v>2023</v>
      </c>
      <c r="P18" s="63">
        <f>J18</f>
        <v>972.30810792432078</v>
      </c>
      <c r="Q18" s="62">
        <f>P19*0.1</f>
        <v>102.2032072947901</v>
      </c>
      <c r="R18" s="54">
        <f>L18</f>
        <v>150</v>
      </c>
      <c r="S18" s="63">
        <f>Q18*R18</f>
        <v>15330.481094218516</v>
      </c>
      <c r="V18" s="92" t="s">
        <v>126</v>
      </c>
      <c r="W18" s="106">
        <f t="shared" ref="W18:AH18" si="19">SUM(W14:W17)</f>
        <v>71078.971902917372</v>
      </c>
      <c r="X18" s="106">
        <f t="shared" si="19"/>
        <v>19929.62542248407</v>
      </c>
      <c r="Y18" s="106">
        <f t="shared" si="19"/>
        <v>91008.597325401439</v>
      </c>
      <c r="Z18" s="106">
        <f t="shared" si="19"/>
        <v>71078.971902917372</v>
      </c>
      <c r="AA18" s="106">
        <f t="shared" si="19"/>
        <v>19929.62542248407</v>
      </c>
      <c r="AB18" s="106">
        <f t="shared" si="19"/>
        <v>91008.597325401439</v>
      </c>
      <c r="AC18" s="106">
        <f t="shared" si="19"/>
        <v>457157.94380583474</v>
      </c>
      <c r="AD18" s="106">
        <f t="shared" si="19"/>
        <v>39859.250844968141</v>
      </c>
      <c r="AE18" s="106">
        <f t="shared" si="19"/>
        <v>497017.19465080288</v>
      </c>
      <c r="AF18" s="106">
        <f t="shared" si="19"/>
        <v>599315.88761166949</v>
      </c>
      <c r="AG18" s="106">
        <f t="shared" si="19"/>
        <v>79718.501689936282</v>
      </c>
      <c r="AH18" s="106">
        <f t="shared" si="19"/>
        <v>679034.38930160576</v>
      </c>
      <c r="AJ18" s="64"/>
      <c r="AK18" s="33"/>
      <c r="AL18" s="33"/>
      <c r="AM18" s="33"/>
      <c r="AN18" s="55"/>
      <c r="AO18" s="33"/>
      <c r="AP18" s="64"/>
      <c r="AQ18" s="21"/>
      <c r="AR18" s="22"/>
      <c r="AS18" s="22"/>
      <c r="AT18" s="23"/>
      <c r="AU18" s="22"/>
    </row>
    <row r="19" spans="2:47" x14ac:dyDescent="0.3">
      <c r="B19" s="44"/>
      <c r="C19" s="44"/>
      <c r="D19" s="44"/>
      <c r="E19" s="44"/>
      <c r="F19" s="44"/>
      <c r="G19" s="77">
        <f>C15+F15+F16+F17</f>
        <v>1022.0320729479008</v>
      </c>
      <c r="I19" s="63">
        <f>I18+5</f>
        <v>2028</v>
      </c>
      <c r="J19" s="62">
        <f>D18</f>
        <v>1022.0320729479009</v>
      </c>
      <c r="K19" s="62">
        <f>J19-K18-K17</f>
        <v>49.723965023580149</v>
      </c>
      <c r="L19" s="54">
        <f>L18</f>
        <v>150</v>
      </c>
      <c r="M19" s="63">
        <f>K19*L19</f>
        <v>7458.5947535370224</v>
      </c>
      <c r="N19" s="88"/>
      <c r="O19" s="63">
        <f>O18+5</f>
        <v>2028</v>
      </c>
      <c r="P19" s="63">
        <f>J19</f>
        <v>1022.0320729479009</v>
      </c>
      <c r="Q19" s="62">
        <f>P19*0.2</f>
        <v>204.40641458958021</v>
      </c>
      <c r="R19" s="54">
        <f>L19</f>
        <v>150</v>
      </c>
      <c r="S19" s="63">
        <f>Q19*R19</f>
        <v>30660.962188437032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J19" s="64"/>
      <c r="AK19" s="33"/>
      <c r="AL19" s="33"/>
      <c r="AM19" s="33"/>
      <c r="AN19" s="55"/>
      <c r="AO19" s="33"/>
      <c r="AP19" s="64"/>
      <c r="AQ19" s="21"/>
      <c r="AR19" s="22"/>
      <c r="AS19" s="22"/>
      <c r="AT19" s="23"/>
      <c r="AU19" s="22"/>
    </row>
    <row r="20" spans="2:47" x14ac:dyDescent="0.3">
      <c r="B20" s="44"/>
      <c r="C20" s="44"/>
      <c r="D20" s="44"/>
      <c r="E20" s="44"/>
      <c r="F20" s="44"/>
      <c r="G20" s="44"/>
      <c r="I20" s="63">
        <f>I19+10</f>
        <v>2038</v>
      </c>
      <c r="J20" s="60"/>
      <c r="K20" s="60"/>
      <c r="L20" s="60"/>
      <c r="M20" s="60"/>
      <c r="N20" s="88"/>
      <c r="O20" s="63">
        <f>O19+10</f>
        <v>2038</v>
      </c>
      <c r="P20" s="60"/>
      <c r="Q20" s="60"/>
      <c r="R20" s="60"/>
      <c r="S20" s="60"/>
      <c r="V20" s="147" t="s">
        <v>170</v>
      </c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88"/>
      <c r="AH20" s="88"/>
      <c r="AJ20" s="64"/>
      <c r="AK20" s="33"/>
      <c r="AL20" s="56"/>
      <c r="AM20" s="56"/>
      <c r="AN20" s="56"/>
      <c r="AO20" s="56"/>
      <c r="AP20" s="64"/>
      <c r="AQ20" s="21"/>
      <c r="AR20" s="21"/>
      <c r="AS20" s="21"/>
      <c r="AT20" s="21"/>
      <c r="AU20" s="21"/>
    </row>
    <row r="21" spans="2:47" x14ac:dyDescent="0.3">
      <c r="B21" s="44"/>
      <c r="C21" s="44"/>
      <c r="D21" s="44"/>
      <c r="E21" s="44"/>
      <c r="F21" s="44"/>
      <c r="G21" s="44"/>
      <c r="I21" s="60" t="s">
        <v>126</v>
      </c>
      <c r="J21" s="60"/>
      <c r="K21" s="63">
        <f>SUM(K17:K20)</f>
        <v>1022.0320729479009</v>
      </c>
      <c r="L21" s="60"/>
      <c r="M21" s="63">
        <f>SUM(M17:M20)</f>
        <v>153304.81094218517</v>
      </c>
      <c r="N21" s="88"/>
      <c r="O21" s="60" t="s">
        <v>126</v>
      </c>
      <c r="P21" s="60"/>
      <c r="Q21" s="63">
        <f>SUM(Q17:Q20)</f>
        <v>408.81282917916042</v>
      </c>
      <c r="R21" s="60"/>
      <c r="S21" s="63">
        <f>SUM(S17:S20)</f>
        <v>61321.924376874063</v>
      </c>
      <c r="V21" s="148" t="s">
        <v>131</v>
      </c>
      <c r="W21" s="149" t="s">
        <v>132</v>
      </c>
      <c r="X21" s="149"/>
      <c r="Y21" s="149"/>
      <c r="Z21" s="149" t="s">
        <v>133</v>
      </c>
      <c r="AA21" s="149"/>
      <c r="AB21" s="149"/>
      <c r="AC21" s="149" t="s">
        <v>5</v>
      </c>
      <c r="AD21" s="149"/>
      <c r="AE21" s="149"/>
      <c r="AF21" s="148" t="s">
        <v>140</v>
      </c>
      <c r="AG21" s="88"/>
      <c r="AH21" s="88"/>
      <c r="AK21" s="21" t="s">
        <v>126</v>
      </c>
      <c r="AL21" s="21"/>
      <c r="AM21" s="22"/>
      <c r="AN21" s="21"/>
      <c r="AO21" s="22"/>
      <c r="AQ21" s="21" t="s">
        <v>126</v>
      </c>
      <c r="AR21" s="21"/>
      <c r="AS21" s="22"/>
      <c r="AT21" s="21"/>
      <c r="AU21" s="22"/>
    </row>
    <row r="22" spans="2:47" x14ac:dyDescent="0.3">
      <c r="B22" s="167" t="s">
        <v>123</v>
      </c>
      <c r="C22" s="167"/>
      <c r="D22" s="167"/>
      <c r="E22" s="167"/>
      <c r="F22" s="167"/>
      <c r="G22" s="44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V22" s="148" t="s">
        <v>131</v>
      </c>
      <c r="W22" s="102" t="s">
        <v>217</v>
      </c>
      <c r="X22" s="102" t="s">
        <v>215</v>
      </c>
      <c r="Y22" s="102" t="s">
        <v>216</v>
      </c>
      <c r="Z22" s="102" t="s">
        <v>217</v>
      </c>
      <c r="AA22" s="102" t="s">
        <v>215</v>
      </c>
      <c r="AB22" s="102" t="s">
        <v>216</v>
      </c>
      <c r="AC22" s="102" t="s">
        <v>217</v>
      </c>
      <c r="AD22" s="102" t="s">
        <v>215</v>
      </c>
      <c r="AE22" s="102" t="s">
        <v>216</v>
      </c>
      <c r="AF22" s="148"/>
      <c r="AG22" s="88"/>
      <c r="AH22" s="88"/>
    </row>
    <row r="23" spans="2:47" x14ac:dyDescent="0.3">
      <c r="B23" s="167" t="s">
        <v>117</v>
      </c>
      <c r="C23" s="167"/>
      <c r="D23" s="167"/>
      <c r="E23" s="167"/>
      <c r="F23" s="167"/>
      <c r="G23" s="44"/>
      <c r="I23" s="147" t="s">
        <v>226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V23" s="92" t="s">
        <v>165</v>
      </c>
      <c r="W23" s="106">
        <f>Y5</f>
        <v>599667.69904640678</v>
      </c>
      <c r="X23" s="106">
        <f>AB5</f>
        <v>39356.33944039583</v>
      </c>
      <c r="Y23" s="106">
        <f>AE5</f>
        <v>61042.094785516158</v>
      </c>
      <c r="Z23" s="106">
        <f>Y14</f>
        <v>70006.613327231884</v>
      </c>
      <c r="AA23" s="106">
        <f>AB14</f>
        <v>70006.613327231884</v>
      </c>
      <c r="AB23" s="106">
        <f>AE14</f>
        <v>140013.22665446377</v>
      </c>
      <c r="AC23" s="106">
        <f>W23+Z23</f>
        <v>669674.31237363862</v>
      </c>
      <c r="AD23" s="106">
        <f>X23+AA23</f>
        <v>109362.95276762772</v>
      </c>
      <c r="AE23" s="106">
        <f>Y23+AB23</f>
        <v>201055.32143997992</v>
      </c>
      <c r="AF23" s="106">
        <f>SUM(AC23:AE23)</f>
        <v>980092.58658124635</v>
      </c>
      <c r="AG23" s="88"/>
      <c r="AH23" s="88"/>
      <c r="AK23" s="153" t="s">
        <v>226</v>
      </c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</row>
    <row r="24" spans="2:47" x14ac:dyDescent="0.3">
      <c r="B24" s="167" t="s">
        <v>91</v>
      </c>
      <c r="C24" s="167" t="s">
        <v>92</v>
      </c>
      <c r="D24" s="167"/>
      <c r="E24" s="167"/>
      <c r="F24" s="167"/>
      <c r="G24" s="44"/>
      <c r="I24" s="147" t="s">
        <v>162</v>
      </c>
      <c r="J24" s="147"/>
      <c r="K24" s="147"/>
      <c r="L24" s="147"/>
      <c r="M24" s="147"/>
      <c r="N24" s="103"/>
      <c r="O24" s="147" t="s">
        <v>163</v>
      </c>
      <c r="P24" s="147"/>
      <c r="Q24" s="147"/>
      <c r="R24" s="147"/>
      <c r="S24" s="147"/>
      <c r="V24" s="92" t="s">
        <v>166</v>
      </c>
      <c r="W24" s="106">
        <f>Y6</f>
        <v>179900.30971392203</v>
      </c>
      <c r="X24" s="106">
        <f>AB6</f>
        <v>11806.90183211875</v>
      </c>
      <c r="Y24" s="106">
        <f>AE6</f>
        <v>18312.628435654846</v>
      </c>
      <c r="Z24" s="106">
        <f>Y15</f>
        <v>21001.983998169562</v>
      </c>
      <c r="AA24" s="106">
        <f>AB15</f>
        <v>21001.983998169562</v>
      </c>
      <c r="AB24" s="106">
        <f>AE15</f>
        <v>42003.967996339125</v>
      </c>
      <c r="AC24" s="106">
        <f t="shared" ref="AC24:AE27" si="20">W24+Z24</f>
        <v>200902.2937120916</v>
      </c>
      <c r="AD24" s="106">
        <f t="shared" si="20"/>
        <v>32808.885830288316</v>
      </c>
      <c r="AE24" s="106">
        <f t="shared" si="20"/>
        <v>60316.596431993967</v>
      </c>
      <c r="AF24" s="106">
        <f>SUM(AC24:AE24)</f>
        <v>294027.77597437392</v>
      </c>
      <c r="AG24" s="88"/>
      <c r="AH24" s="88"/>
      <c r="AK24" s="153" t="s">
        <v>162</v>
      </c>
      <c r="AL24" s="153"/>
      <c r="AM24" s="153"/>
      <c r="AN24" s="153"/>
      <c r="AO24" s="153"/>
      <c r="AP24" s="27"/>
      <c r="AQ24" s="153" t="s">
        <v>163</v>
      </c>
      <c r="AR24" s="153"/>
      <c r="AS24" s="153"/>
      <c r="AT24" s="153"/>
      <c r="AU24" s="153"/>
    </row>
    <row r="25" spans="2:47" x14ac:dyDescent="0.3">
      <c r="B25" s="167"/>
      <c r="C25" s="44" t="s">
        <v>114</v>
      </c>
      <c r="D25" s="44" t="s">
        <v>115</v>
      </c>
      <c r="E25" s="44" t="s">
        <v>121</v>
      </c>
      <c r="F25" s="44" t="s">
        <v>122</v>
      </c>
      <c r="G25" s="44"/>
      <c r="I25" s="161" t="s">
        <v>191</v>
      </c>
      <c r="J25" s="161"/>
      <c r="K25" s="161"/>
      <c r="L25" s="161"/>
      <c r="M25" s="161"/>
      <c r="N25" s="103"/>
      <c r="O25" s="161" t="s">
        <v>191</v>
      </c>
      <c r="P25" s="161"/>
      <c r="Q25" s="161"/>
      <c r="R25" s="161"/>
      <c r="S25" s="161"/>
      <c r="V25" s="92" t="s">
        <v>167</v>
      </c>
      <c r="W25" s="106">
        <f>Y7</f>
        <v>450000</v>
      </c>
      <c r="X25" s="106">
        <f>AB7</f>
        <v>0</v>
      </c>
      <c r="Y25" s="106">
        <f>AE7</f>
        <v>0</v>
      </c>
      <c r="Z25" s="106">
        <f>Y16</f>
        <v>0</v>
      </c>
      <c r="AA25" s="106">
        <f>AB16</f>
        <v>0</v>
      </c>
      <c r="AB25" s="106">
        <f>AE16</f>
        <v>315000</v>
      </c>
      <c r="AC25" s="106">
        <f t="shared" si="20"/>
        <v>450000</v>
      </c>
      <c r="AD25" s="106">
        <f t="shared" si="20"/>
        <v>0</v>
      </c>
      <c r="AE25" s="106">
        <f t="shared" si="20"/>
        <v>315000</v>
      </c>
      <c r="AF25" s="106">
        <f>SUM(AC25:AE25)</f>
        <v>765000</v>
      </c>
      <c r="AG25" s="88"/>
      <c r="AH25" s="88"/>
      <c r="AK25" s="171" t="s">
        <v>191</v>
      </c>
      <c r="AL25" s="171"/>
      <c r="AM25" s="171"/>
      <c r="AN25" s="171"/>
      <c r="AO25" s="171"/>
      <c r="AP25" s="27"/>
      <c r="AQ25" s="171" t="s">
        <v>191</v>
      </c>
      <c r="AR25" s="171"/>
      <c r="AS25" s="171"/>
      <c r="AT25" s="171"/>
      <c r="AU25" s="171"/>
    </row>
    <row r="26" spans="2:47" x14ac:dyDescent="0.3">
      <c r="B26" s="44">
        <f>B15</f>
        <v>2018</v>
      </c>
      <c r="C26" s="76">
        <f>'Quadros 8.4.1 a 8.4.4'!AA26</f>
        <v>2031.4881434186918</v>
      </c>
      <c r="D26" s="76">
        <f>'Quadros 8.4.1 a 8.4.4'!AB26</f>
        <v>2905.0872721483042</v>
      </c>
      <c r="E26" s="76">
        <f>'Quadros 8.4.1 a 8.4.4'!AC26</f>
        <v>2447.0694427971334</v>
      </c>
      <c r="F26" s="76">
        <f>'Quadros 8.4.1 a 8.4.4'!AD26</f>
        <v>415.5812993784416</v>
      </c>
      <c r="G26" s="44"/>
      <c r="I26" s="148" t="s">
        <v>91</v>
      </c>
      <c r="J26" s="159" t="s">
        <v>142</v>
      </c>
      <c r="K26" s="159" t="s">
        <v>143</v>
      </c>
      <c r="L26" s="159" t="s">
        <v>144</v>
      </c>
      <c r="M26" s="159" t="s">
        <v>145</v>
      </c>
      <c r="N26" s="88"/>
      <c r="O26" s="148" t="s">
        <v>91</v>
      </c>
      <c r="P26" s="159" t="s">
        <v>142</v>
      </c>
      <c r="Q26" s="159" t="s">
        <v>143</v>
      </c>
      <c r="R26" s="159" t="s">
        <v>144</v>
      </c>
      <c r="S26" s="159" t="s">
        <v>145</v>
      </c>
      <c r="V26" s="92" t="s">
        <v>250</v>
      </c>
      <c r="W26" s="106">
        <f>Y8</f>
        <v>0</v>
      </c>
      <c r="X26" s="106">
        <f>AB8</f>
        <v>0</v>
      </c>
      <c r="Y26" s="106">
        <f>AE8</f>
        <v>0</v>
      </c>
      <c r="Z26" s="106">
        <f>Y17</f>
        <v>0</v>
      </c>
      <c r="AA26" s="106">
        <f>AB17</f>
        <v>0</v>
      </c>
      <c r="AB26" s="106">
        <f>AE17</f>
        <v>0</v>
      </c>
      <c r="AC26" s="106">
        <f t="shared" si="20"/>
        <v>0</v>
      </c>
      <c r="AD26" s="106">
        <f t="shared" si="20"/>
        <v>0</v>
      </c>
      <c r="AE26" s="106">
        <f t="shared" si="20"/>
        <v>0</v>
      </c>
      <c r="AF26" s="106">
        <f>SUM(AC26:AE26)</f>
        <v>0</v>
      </c>
      <c r="AG26" s="88"/>
      <c r="AH26" s="88"/>
      <c r="AK26" s="154" t="s">
        <v>91</v>
      </c>
      <c r="AL26" s="170" t="s">
        <v>142</v>
      </c>
      <c r="AM26" s="170" t="s">
        <v>143</v>
      </c>
      <c r="AN26" s="170" t="s">
        <v>144</v>
      </c>
      <c r="AO26" s="170" t="s">
        <v>145</v>
      </c>
      <c r="AQ26" s="154" t="s">
        <v>91</v>
      </c>
      <c r="AR26" s="170" t="s">
        <v>142</v>
      </c>
      <c r="AS26" s="170" t="s">
        <v>143</v>
      </c>
      <c r="AT26" s="170" t="s">
        <v>144</v>
      </c>
      <c r="AU26" s="170" t="s">
        <v>145</v>
      </c>
    </row>
    <row r="27" spans="2:47" x14ac:dyDescent="0.3">
      <c r="B27" s="44">
        <f>B26+5</f>
        <v>2023</v>
      </c>
      <c r="C27" s="76">
        <f>'Quadros 8.4.1 a 8.4.4'!AA27</f>
        <v>2447.0694427971334</v>
      </c>
      <c r="D27" s="76">
        <f>'Quadros 8.4.1 a 8.4.4'!AB27</f>
        <v>3058.8368034964165</v>
      </c>
      <c r="E27" s="76">
        <f>'Quadros 8.4.1 a 8.4.4'!AC27</f>
        <v>2959.0669337889267</v>
      </c>
      <c r="F27" s="76">
        <f>'Quadros 8.4.1 a 8.4.4'!AD27</f>
        <v>511.99749099179326</v>
      </c>
      <c r="G27" s="44"/>
      <c r="I27" s="148"/>
      <c r="J27" s="159"/>
      <c r="K27" s="159" t="s">
        <v>116</v>
      </c>
      <c r="L27" s="159" t="s">
        <v>125</v>
      </c>
      <c r="M27" s="159"/>
      <c r="N27" s="88"/>
      <c r="O27" s="148"/>
      <c r="P27" s="159"/>
      <c r="Q27" s="159" t="s">
        <v>116</v>
      </c>
      <c r="R27" s="159" t="s">
        <v>125</v>
      </c>
      <c r="S27" s="159"/>
      <c r="V27" s="92" t="s">
        <v>126</v>
      </c>
      <c r="W27" s="106">
        <f>Y9</f>
        <v>1229568.0087603289</v>
      </c>
      <c r="X27" s="106">
        <f>AB9</f>
        <v>51163.241272514584</v>
      </c>
      <c r="Y27" s="106">
        <f>AE9</f>
        <v>79354.723221171007</v>
      </c>
      <c r="Z27" s="106">
        <f>Y18</f>
        <v>91008.597325401439</v>
      </c>
      <c r="AA27" s="106">
        <f>AB18</f>
        <v>91008.597325401439</v>
      </c>
      <c r="AB27" s="106">
        <f>AE18</f>
        <v>497017.19465080288</v>
      </c>
      <c r="AC27" s="106">
        <f t="shared" si="20"/>
        <v>1320576.6060857303</v>
      </c>
      <c r="AD27" s="106">
        <f t="shared" si="20"/>
        <v>142171.83859791601</v>
      </c>
      <c r="AE27" s="106">
        <f t="shared" si="20"/>
        <v>576371.91787197394</v>
      </c>
      <c r="AF27" s="106">
        <f>SUM(AC27:AE27)</f>
        <v>2039120.3625556203</v>
      </c>
      <c r="AG27" s="88"/>
      <c r="AH27" s="88"/>
      <c r="AK27" s="154"/>
      <c r="AL27" s="170"/>
      <c r="AM27" s="170" t="s">
        <v>116</v>
      </c>
      <c r="AN27" s="170" t="s">
        <v>125</v>
      </c>
      <c r="AO27" s="170"/>
      <c r="AQ27" s="154"/>
      <c r="AR27" s="170"/>
      <c r="AS27" s="170" t="s">
        <v>116</v>
      </c>
      <c r="AT27" s="170" t="s">
        <v>125</v>
      </c>
      <c r="AU27" s="170"/>
    </row>
    <row r="28" spans="2:47" x14ac:dyDescent="0.3">
      <c r="B28" s="44">
        <f>B27+5</f>
        <v>2028</v>
      </c>
      <c r="C28" s="76">
        <f>'Quadros 8.4.1 a 8.4.4'!AA28</f>
        <v>2959.0669337889267</v>
      </c>
      <c r="D28" s="76">
        <f>'Quadros 8.4.1 a 8.4.4'!AB28</f>
        <v>3287.8521486543632</v>
      </c>
      <c r="E28" s="76">
        <f>'Quadros 8.4.1 a 8.4.4'!AC28</f>
        <v>3645.0754822008907</v>
      </c>
      <c r="F28" s="76">
        <f>'Quadros 8.4.1 a 8.4.4'!AD28</f>
        <v>686.00854841196406</v>
      </c>
      <c r="G28" s="44"/>
      <c r="I28" s="63">
        <f>I17</f>
        <v>2018</v>
      </c>
      <c r="J28" s="62">
        <f t="shared" ref="J28:K30" si="21">J6</f>
        <v>3058.8368034964165</v>
      </c>
      <c r="K28" s="62">
        <f t="shared" si="21"/>
        <v>3058.8368034964165</v>
      </c>
      <c r="L28" s="54">
        <v>45</v>
      </c>
      <c r="M28" s="63">
        <f>K28*L28</f>
        <v>137647.65615733873</v>
      </c>
      <c r="N28" s="88"/>
      <c r="O28" s="63">
        <f>O17</f>
        <v>2018</v>
      </c>
      <c r="P28" s="63">
        <f>J28</f>
        <v>3058.8368034964165</v>
      </c>
      <c r="Q28" s="62">
        <f>P30*0.1</f>
        <v>364.50754822008912</v>
      </c>
      <c r="R28" s="54">
        <f>L28</f>
        <v>45</v>
      </c>
      <c r="S28" s="63">
        <f>Q28*R28</f>
        <v>16402.839669904009</v>
      </c>
      <c r="AK28" s="21"/>
      <c r="AL28" s="22"/>
      <c r="AM28" s="22"/>
      <c r="AN28" s="23"/>
      <c r="AO28" s="22"/>
      <c r="AQ28" s="21"/>
      <c r="AR28" s="22"/>
      <c r="AS28" s="22"/>
      <c r="AT28" s="23"/>
      <c r="AU28" s="22"/>
    </row>
    <row r="29" spans="2:47" x14ac:dyDescent="0.3">
      <c r="B29" s="44">
        <f>B28+10</f>
        <v>2038</v>
      </c>
      <c r="C29" s="76">
        <f>'Quadros 8.4.1 a 8.4.4'!AA29</f>
        <v>3645.0754822008907</v>
      </c>
      <c r="D29" s="76">
        <f>'Quadros 8.4.1 a 8.4.4'!AB29</f>
        <v>3645.0754822008907</v>
      </c>
      <c r="E29" s="76">
        <f>'Quadros 8.4.1 a 8.4.4'!AC29</f>
        <v>3645.0754822008907</v>
      </c>
      <c r="F29" s="76">
        <f>'Quadros 8.4.1 a 8.4.4'!AD29</f>
        <v>0</v>
      </c>
      <c r="G29" s="44"/>
      <c r="I29" s="63">
        <f>I28+5</f>
        <v>2023</v>
      </c>
      <c r="J29" s="62">
        <f t="shared" si="21"/>
        <v>3287.8521486543632</v>
      </c>
      <c r="K29" s="62">
        <f t="shared" si="21"/>
        <v>229.01534515794674</v>
      </c>
      <c r="L29" s="54">
        <f>L28</f>
        <v>45</v>
      </c>
      <c r="M29" s="63">
        <f>K29*L29</f>
        <v>10305.690532107603</v>
      </c>
      <c r="N29" s="88"/>
      <c r="O29" s="63">
        <f>O28+5</f>
        <v>2023</v>
      </c>
      <c r="P29" s="63">
        <f>J29</f>
        <v>3287.8521486543632</v>
      </c>
      <c r="Q29" s="62">
        <f>P30*0.1</f>
        <v>364.50754822008912</v>
      </c>
      <c r="R29" s="54">
        <f>L29</f>
        <v>45</v>
      </c>
      <c r="S29" s="63">
        <f>Q29*R29</f>
        <v>16402.839669904009</v>
      </c>
      <c r="AF29" s="19"/>
      <c r="AK29" s="21"/>
      <c r="AL29" s="22"/>
      <c r="AM29" s="22"/>
      <c r="AN29" s="23"/>
      <c r="AO29" s="22"/>
      <c r="AQ29" s="21"/>
      <c r="AR29" s="22"/>
      <c r="AS29" s="22"/>
      <c r="AT29" s="23"/>
      <c r="AU29" s="22"/>
    </row>
    <row r="30" spans="2:47" x14ac:dyDescent="0.3">
      <c r="B30" s="44"/>
      <c r="C30" s="44"/>
      <c r="D30" s="44"/>
      <c r="E30" s="44"/>
      <c r="F30" s="44"/>
      <c r="G30" s="77">
        <f>C26+F26+F27+F28</f>
        <v>3645.0754822008907</v>
      </c>
      <c r="I30" s="63">
        <f>I29+5</f>
        <v>2028</v>
      </c>
      <c r="J30" s="62">
        <f t="shared" si="21"/>
        <v>3645.0754822008907</v>
      </c>
      <c r="K30" s="62">
        <f t="shared" si="21"/>
        <v>357.22333354652756</v>
      </c>
      <c r="L30" s="54">
        <f>L29</f>
        <v>45</v>
      </c>
      <c r="M30" s="63">
        <f>K30*L30</f>
        <v>16075.05000959374</v>
      </c>
      <c r="N30" s="88"/>
      <c r="O30" s="63">
        <f>O29+5</f>
        <v>2028</v>
      </c>
      <c r="P30" s="63">
        <f>J30</f>
        <v>3645.0754822008907</v>
      </c>
      <c r="Q30" s="62">
        <f>P30*0.2</f>
        <v>729.01509644017824</v>
      </c>
      <c r="R30" s="54">
        <f>L30</f>
        <v>45</v>
      </c>
      <c r="S30" s="63">
        <f>Q30*R30</f>
        <v>32805.679339808019</v>
      </c>
      <c r="AK30" s="21"/>
      <c r="AL30" s="22"/>
      <c r="AM30" s="22"/>
      <c r="AN30" s="23"/>
      <c r="AO30" s="22"/>
      <c r="AQ30" s="21"/>
      <c r="AR30" s="22"/>
      <c r="AS30" s="22"/>
      <c r="AT30" s="23"/>
      <c r="AU30" s="22"/>
    </row>
    <row r="31" spans="2:47" x14ac:dyDescent="0.3">
      <c r="B31" s="167" t="s">
        <v>118</v>
      </c>
      <c r="C31" s="167"/>
      <c r="D31" s="167"/>
      <c r="E31" s="167"/>
      <c r="F31" s="167"/>
      <c r="G31" s="44"/>
      <c r="I31" s="63">
        <f>I30+10</f>
        <v>2038</v>
      </c>
      <c r="J31" s="60"/>
      <c r="K31" s="60"/>
      <c r="L31" s="60"/>
      <c r="M31" s="60"/>
      <c r="N31" s="88"/>
      <c r="O31" s="63">
        <f>O30+10</f>
        <v>2038</v>
      </c>
      <c r="P31" s="60"/>
      <c r="Q31" s="60"/>
      <c r="R31" s="60"/>
      <c r="S31" s="60"/>
      <c r="AK31" s="21"/>
      <c r="AL31" s="21"/>
      <c r="AM31" s="21"/>
      <c r="AN31" s="21"/>
      <c r="AO31" s="21"/>
      <c r="AQ31" s="21"/>
      <c r="AR31" s="21"/>
      <c r="AS31" s="21"/>
      <c r="AT31" s="21"/>
      <c r="AU31" s="21"/>
    </row>
    <row r="32" spans="2:47" x14ac:dyDescent="0.3">
      <c r="B32" s="167" t="s">
        <v>91</v>
      </c>
      <c r="C32" s="167" t="s">
        <v>92</v>
      </c>
      <c r="D32" s="167"/>
      <c r="E32" s="167"/>
      <c r="F32" s="167"/>
      <c r="G32" s="44"/>
      <c r="I32" s="60" t="s">
        <v>126</v>
      </c>
      <c r="J32" s="60"/>
      <c r="K32" s="63">
        <f>SUM(K28:K31)</f>
        <v>3645.0754822008907</v>
      </c>
      <c r="L32" s="60"/>
      <c r="M32" s="63">
        <f>SUM(M28:M31)</f>
        <v>164028.39669904008</v>
      </c>
      <c r="N32" s="88"/>
      <c r="O32" s="60" t="s">
        <v>126</v>
      </c>
      <c r="P32" s="60"/>
      <c r="Q32" s="63">
        <f>SUM(Q28:Q31)</f>
        <v>1458.0301928803565</v>
      </c>
      <c r="R32" s="60"/>
      <c r="S32" s="63">
        <f>SUM(S28:S31)</f>
        <v>65611.358679616038</v>
      </c>
      <c r="AK32" s="21" t="s">
        <v>126</v>
      </c>
      <c r="AL32" s="21"/>
      <c r="AM32" s="22"/>
      <c r="AN32" s="21"/>
      <c r="AO32" s="22"/>
      <c r="AQ32" s="21" t="s">
        <v>126</v>
      </c>
      <c r="AR32" s="21"/>
      <c r="AS32" s="22"/>
      <c r="AT32" s="21"/>
      <c r="AU32" s="22"/>
    </row>
    <row r="33" spans="2:47" x14ac:dyDescent="0.3">
      <c r="B33" s="167"/>
      <c r="C33" s="44" t="s">
        <v>114</v>
      </c>
      <c r="D33" s="44" t="s">
        <v>115</v>
      </c>
      <c r="E33" s="44" t="s">
        <v>121</v>
      </c>
      <c r="F33" s="44" t="s">
        <v>122</v>
      </c>
      <c r="G33" s="44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47" x14ac:dyDescent="0.3">
      <c r="B34" s="44">
        <f>B26</f>
        <v>2018</v>
      </c>
      <c r="C34" s="76">
        <f>'Quadros 8.4.1 a 8.4.4'!AA34</f>
        <v>0</v>
      </c>
      <c r="D34" s="76">
        <f>'Quadros 8.4.1 a 8.4.4'!AB34</f>
        <v>915.82219865438469</v>
      </c>
      <c r="E34" s="76">
        <f>'Quadros 8.4.1 a 8.4.4'!AC34</f>
        <v>0</v>
      </c>
      <c r="F34" s="76">
        <f>'Quadros 8.4.1 a 8.4.4'!AD34</f>
        <v>0</v>
      </c>
      <c r="G34" s="44"/>
      <c r="I34" s="147" t="s">
        <v>225</v>
      </c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AK34" s="153" t="s">
        <v>225</v>
      </c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</row>
    <row r="35" spans="2:47" x14ac:dyDescent="0.3">
      <c r="B35" s="44">
        <f>B34+5</f>
        <v>2023</v>
      </c>
      <c r="C35" s="76">
        <f>'Quadros 8.4.1 a 8.4.4'!AA35</f>
        <v>0</v>
      </c>
      <c r="D35" s="76">
        <f>'Quadros 8.4.1 a 8.4.4'!AB35</f>
        <v>938.94785681296196</v>
      </c>
      <c r="E35" s="76">
        <f>'Quadros 8.4.1 a 8.4.4'!AC35</f>
        <v>0</v>
      </c>
      <c r="F35" s="76">
        <f>'Quadros 8.4.1 a 8.4.4'!AD35</f>
        <v>0</v>
      </c>
      <c r="G35" s="44"/>
      <c r="I35" s="147" t="s">
        <v>162</v>
      </c>
      <c r="J35" s="147"/>
      <c r="K35" s="147"/>
      <c r="L35" s="147"/>
      <c r="M35" s="147"/>
      <c r="N35" s="103"/>
      <c r="O35" s="147" t="s">
        <v>163</v>
      </c>
      <c r="P35" s="147"/>
      <c r="Q35" s="147"/>
      <c r="R35" s="147"/>
      <c r="S35" s="147"/>
      <c r="AK35" s="153" t="s">
        <v>162</v>
      </c>
      <c r="AL35" s="153"/>
      <c r="AM35" s="153"/>
      <c r="AN35" s="153"/>
      <c r="AO35" s="153"/>
      <c r="AP35" s="27"/>
      <c r="AQ35" s="153" t="s">
        <v>163</v>
      </c>
      <c r="AR35" s="153"/>
      <c r="AS35" s="153"/>
      <c r="AT35" s="153"/>
      <c r="AU35" s="153"/>
    </row>
    <row r="36" spans="2:47" x14ac:dyDescent="0.3">
      <c r="B36" s="44">
        <f>B35+5</f>
        <v>2028</v>
      </c>
      <c r="C36" s="76">
        <f>'Quadros 8.4.1 a 8.4.4'!AA36</f>
        <v>0</v>
      </c>
      <c r="D36" s="76">
        <f>'Quadros 8.4.1 a 8.4.4'!AB36</f>
        <v>972.30810792432078</v>
      </c>
      <c r="E36" s="76">
        <f>'Quadros 8.4.1 a 8.4.4'!AC36</f>
        <v>0</v>
      </c>
      <c r="F36" s="76">
        <f>'Quadros 8.4.1 a 8.4.4'!AD36</f>
        <v>0</v>
      </c>
      <c r="G36" s="44"/>
      <c r="I36" s="161" t="s">
        <v>192</v>
      </c>
      <c r="J36" s="161"/>
      <c r="K36" s="161"/>
      <c r="L36" s="161"/>
      <c r="M36" s="161"/>
      <c r="N36" s="103"/>
      <c r="O36" s="161" t="s">
        <v>192</v>
      </c>
      <c r="P36" s="161"/>
      <c r="Q36" s="161"/>
      <c r="R36" s="161"/>
      <c r="S36" s="161"/>
      <c r="AK36" s="171" t="s">
        <v>192</v>
      </c>
      <c r="AL36" s="171"/>
      <c r="AM36" s="171"/>
      <c r="AN36" s="171"/>
      <c r="AO36" s="171"/>
      <c r="AP36" s="27"/>
      <c r="AQ36" s="171" t="s">
        <v>192</v>
      </c>
      <c r="AR36" s="171"/>
      <c r="AS36" s="171"/>
      <c r="AT36" s="171"/>
      <c r="AU36" s="171"/>
    </row>
    <row r="37" spans="2:47" x14ac:dyDescent="0.3">
      <c r="B37" s="44">
        <f>B36+10</f>
        <v>2038</v>
      </c>
      <c r="C37" s="76">
        <f>'Quadros 8.4.1 a 8.4.4'!AA37</f>
        <v>0</v>
      </c>
      <c r="D37" s="76">
        <f>'Quadros 8.4.1 a 8.4.4'!AB37</f>
        <v>1022.0320729479009</v>
      </c>
      <c r="E37" s="76">
        <f>'Quadros 8.4.1 a 8.4.4'!AC37</f>
        <v>0</v>
      </c>
      <c r="F37" s="76">
        <f>'Quadros 8.4.1 a 8.4.4'!AD37</f>
        <v>0</v>
      </c>
      <c r="G37" s="44"/>
      <c r="I37" s="148" t="s">
        <v>91</v>
      </c>
      <c r="J37" s="159" t="s">
        <v>142</v>
      </c>
      <c r="K37" s="159" t="s">
        <v>143</v>
      </c>
      <c r="L37" s="159" t="s">
        <v>144</v>
      </c>
      <c r="M37" s="159" t="s">
        <v>145</v>
      </c>
      <c r="N37" s="88"/>
      <c r="O37" s="148" t="s">
        <v>91</v>
      </c>
      <c r="P37" s="159" t="s">
        <v>142</v>
      </c>
      <c r="Q37" s="159" t="s">
        <v>143</v>
      </c>
      <c r="R37" s="159" t="s">
        <v>144</v>
      </c>
      <c r="S37" s="159" t="s">
        <v>145</v>
      </c>
      <c r="AK37" s="154" t="s">
        <v>91</v>
      </c>
      <c r="AL37" s="170" t="s">
        <v>142</v>
      </c>
      <c r="AM37" s="170" t="s">
        <v>143</v>
      </c>
      <c r="AN37" s="170" t="s">
        <v>144</v>
      </c>
      <c r="AO37" s="170" t="s">
        <v>145</v>
      </c>
      <c r="AQ37" s="154" t="s">
        <v>91</v>
      </c>
      <c r="AR37" s="170" t="s">
        <v>142</v>
      </c>
      <c r="AS37" s="170" t="s">
        <v>143</v>
      </c>
      <c r="AT37" s="170" t="s">
        <v>144</v>
      </c>
      <c r="AU37" s="170" t="s">
        <v>145</v>
      </c>
    </row>
    <row r="38" spans="2:47" x14ac:dyDescent="0.3">
      <c r="B38" s="44"/>
      <c r="C38" s="44"/>
      <c r="D38" s="44"/>
      <c r="E38" s="44"/>
      <c r="F38" s="44"/>
      <c r="G38" s="77">
        <f>C34+F34+F35+F36</f>
        <v>0</v>
      </c>
      <c r="I38" s="148"/>
      <c r="J38" s="159"/>
      <c r="K38" s="159" t="s">
        <v>116</v>
      </c>
      <c r="L38" s="159" t="s">
        <v>125</v>
      </c>
      <c r="M38" s="159"/>
      <c r="N38" s="88"/>
      <c r="O38" s="148"/>
      <c r="P38" s="159"/>
      <c r="Q38" s="159" t="s">
        <v>116</v>
      </c>
      <c r="R38" s="159" t="s">
        <v>125</v>
      </c>
      <c r="S38" s="159"/>
      <c r="AK38" s="154"/>
      <c r="AL38" s="170"/>
      <c r="AM38" s="170" t="s">
        <v>116</v>
      </c>
      <c r="AN38" s="170" t="s">
        <v>125</v>
      </c>
      <c r="AO38" s="170"/>
      <c r="AQ38" s="154"/>
      <c r="AR38" s="170"/>
      <c r="AS38" s="170" t="s">
        <v>116</v>
      </c>
      <c r="AT38" s="170" t="s">
        <v>125</v>
      </c>
      <c r="AU38" s="170"/>
    </row>
    <row r="39" spans="2:47" x14ac:dyDescent="0.3">
      <c r="F39" s="19"/>
      <c r="I39" s="63">
        <f>I28</f>
        <v>2018</v>
      </c>
      <c r="J39" s="62">
        <f t="shared" ref="J39:K41" si="22">J17</f>
        <v>938.94785681296196</v>
      </c>
      <c r="K39" s="62">
        <f t="shared" si="22"/>
        <v>938.94785681296196</v>
      </c>
      <c r="L39" s="54">
        <f>L28</f>
        <v>45</v>
      </c>
      <c r="M39" s="63">
        <f>K39*L39</f>
        <v>42252.653556583289</v>
      </c>
      <c r="N39" s="88"/>
      <c r="O39" s="63">
        <f>O28</f>
        <v>2018</v>
      </c>
      <c r="P39" s="63">
        <f>J39</f>
        <v>938.94785681296196</v>
      </c>
      <c r="Q39" s="62">
        <f>P41*0.1</f>
        <v>102.2032072947901</v>
      </c>
      <c r="R39" s="54">
        <f>L39</f>
        <v>45</v>
      </c>
      <c r="S39" s="63">
        <f>Q39*R39</f>
        <v>4599.1443282655546</v>
      </c>
      <c r="AK39" s="21"/>
      <c r="AL39" s="22"/>
      <c r="AM39" s="22"/>
      <c r="AN39" s="23"/>
      <c r="AO39" s="22"/>
      <c r="AQ39" s="21"/>
      <c r="AR39" s="22"/>
      <c r="AS39" s="22"/>
      <c r="AT39" s="23"/>
      <c r="AU39" s="22"/>
    </row>
    <row r="40" spans="2:47" x14ac:dyDescent="0.3">
      <c r="I40" s="63">
        <f>I39+5</f>
        <v>2023</v>
      </c>
      <c r="J40" s="62">
        <f t="shared" si="22"/>
        <v>972.30810792432078</v>
      </c>
      <c r="K40" s="62">
        <f t="shared" si="22"/>
        <v>33.360251111358821</v>
      </c>
      <c r="L40" s="54">
        <f>L39</f>
        <v>45</v>
      </c>
      <c r="M40" s="63">
        <f>K40*L40</f>
        <v>1501.2113000111469</v>
      </c>
      <c r="N40" s="88"/>
      <c r="O40" s="63">
        <f>O39+5</f>
        <v>2023</v>
      </c>
      <c r="P40" s="63">
        <f>J40</f>
        <v>972.30810792432078</v>
      </c>
      <c r="Q40" s="62">
        <f>P41*0.1</f>
        <v>102.2032072947901</v>
      </c>
      <c r="R40" s="54">
        <f>L40</f>
        <v>45</v>
      </c>
      <c r="S40" s="63">
        <f>Q40*R40</f>
        <v>4599.1443282655546</v>
      </c>
      <c r="AK40" s="21"/>
      <c r="AL40" s="22"/>
      <c r="AM40" s="22"/>
      <c r="AN40" s="23"/>
      <c r="AO40" s="22"/>
      <c r="AQ40" s="21"/>
      <c r="AR40" s="22"/>
      <c r="AS40" s="22"/>
      <c r="AT40" s="23"/>
      <c r="AU40" s="22"/>
    </row>
    <row r="41" spans="2:47" x14ac:dyDescent="0.3">
      <c r="I41" s="63">
        <f>I40+5</f>
        <v>2028</v>
      </c>
      <c r="J41" s="62">
        <f t="shared" si="22"/>
        <v>1022.0320729479009</v>
      </c>
      <c r="K41" s="62">
        <f t="shared" si="22"/>
        <v>49.723965023580149</v>
      </c>
      <c r="L41" s="54">
        <f>L40</f>
        <v>45</v>
      </c>
      <c r="M41" s="63">
        <f>K41*L41</f>
        <v>2237.5784260611067</v>
      </c>
      <c r="N41" s="88"/>
      <c r="O41" s="63">
        <f>O40+5</f>
        <v>2028</v>
      </c>
      <c r="P41" s="63">
        <f>J41</f>
        <v>1022.0320729479009</v>
      </c>
      <c r="Q41" s="62">
        <f>P41*0.2</f>
        <v>204.40641458958021</v>
      </c>
      <c r="R41" s="54">
        <f>L41</f>
        <v>45</v>
      </c>
      <c r="S41" s="63">
        <f>Q41*R41</f>
        <v>9198.2886565311092</v>
      </c>
      <c r="AK41" s="21"/>
      <c r="AL41" s="22"/>
      <c r="AM41" s="22"/>
      <c r="AN41" s="23"/>
      <c r="AO41" s="22"/>
      <c r="AQ41" s="21"/>
      <c r="AR41" s="22"/>
      <c r="AS41" s="22"/>
      <c r="AT41" s="23"/>
      <c r="AU41" s="22"/>
    </row>
    <row r="42" spans="2:47" x14ac:dyDescent="0.3">
      <c r="I42" s="63">
        <f>I41+10</f>
        <v>2038</v>
      </c>
      <c r="J42" s="60"/>
      <c r="K42" s="60"/>
      <c r="L42" s="60"/>
      <c r="M42" s="60"/>
      <c r="N42" s="88"/>
      <c r="O42" s="63">
        <f>O41+10</f>
        <v>2038</v>
      </c>
      <c r="P42" s="60"/>
      <c r="Q42" s="60"/>
      <c r="R42" s="60"/>
      <c r="S42" s="60"/>
      <c r="AK42" s="21"/>
      <c r="AL42" s="21"/>
      <c r="AM42" s="21"/>
      <c r="AN42" s="21"/>
      <c r="AO42" s="21"/>
      <c r="AQ42" s="21"/>
      <c r="AR42" s="21"/>
      <c r="AS42" s="21"/>
      <c r="AT42" s="21"/>
      <c r="AU42" s="21"/>
    </row>
    <row r="43" spans="2:47" x14ac:dyDescent="0.3">
      <c r="I43" s="60" t="s">
        <v>126</v>
      </c>
      <c r="J43" s="60"/>
      <c r="K43" s="63">
        <f>SUM(K39:K42)</f>
        <v>1022.0320729479009</v>
      </c>
      <c r="L43" s="60"/>
      <c r="M43" s="63">
        <f>SUM(M39:M42)</f>
        <v>45991.443282655542</v>
      </c>
      <c r="N43" s="88"/>
      <c r="O43" s="60" t="s">
        <v>126</v>
      </c>
      <c r="P43" s="60"/>
      <c r="Q43" s="63">
        <f>SUM(Q39:Q42)</f>
        <v>408.81282917916042</v>
      </c>
      <c r="R43" s="60"/>
      <c r="S43" s="63">
        <f>SUM(S39:S42)</f>
        <v>18396.577313062218</v>
      </c>
      <c r="AK43" s="21" t="s">
        <v>126</v>
      </c>
      <c r="AL43" s="21"/>
      <c r="AM43" s="22"/>
      <c r="AN43" s="21"/>
      <c r="AO43" s="22"/>
      <c r="AQ43" s="21" t="s">
        <v>126</v>
      </c>
      <c r="AR43" s="21"/>
      <c r="AS43" s="22"/>
      <c r="AT43" s="21"/>
      <c r="AU43" s="22"/>
    </row>
  </sheetData>
  <mergeCells count="153">
    <mergeCell ref="I1:S1"/>
    <mergeCell ref="I12:S12"/>
    <mergeCell ref="I23:S23"/>
    <mergeCell ref="I34:S34"/>
    <mergeCell ref="AK1:AU1"/>
    <mergeCell ref="AK12:AU12"/>
    <mergeCell ref="AK23:AU23"/>
    <mergeCell ref="AK34:AU34"/>
    <mergeCell ref="V1:AH1"/>
    <mergeCell ref="AK24:AO24"/>
    <mergeCell ref="AQ24:AU24"/>
    <mergeCell ref="AK25:AO25"/>
    <mergeCell ref="AQ25:AU25"/>
    <mergeCell ref="AK26:AK27"/>
    <mergeCell ref="AL26:AL27"/>
    <mergeCell ref="AM26:AM27"/>
    <mergeCell ref="AN26:AN27"/>
    <mergeCell ref="AO26:AO27"/>
    <mergeCell ref="AQ26:AQ27"/>
    <mergeCell ref="AR26:AR27"/>
    <mergeCell ref="AS26:AS27"/>
    <mergeCell ref="AT26:AT27"/>
    <mergeCell ref="AU26:AU27"/>
    <mergeCell ref="AK13:AO13"/>
    <mergeCell ref="AK35:AO35"/>
    <mergeCell ref="AQ35:AU35"/>
    <mergeCell ref="AK36:AO36"/>
    <mergeCell ref="AQ36:AU36"/>
    <mergeCell ref="AK37:AK38"/>
    <mergeCell ref="AL37:AL38"/>
    <mergeCell ref="AM37:AM38"/>
    <mergeCell ref="AN37:AN38"/>
    <mergeCell ref="AO37:AO38"/>
    <mergeCell ref="AQ37:AQ38"/>
    <mergeCell ref="AR37:AR38"/>
    <mergeCell ref="AS37:AS38"/>
    <mergeCell ref="AT37:AT38"/>
    <mergeCell ref="AU37:AU38"/>
    <mergeCell ref="AQ13:AU13"/>
    <mergeCell ref="AK14:AO14"/>
    <mergeCell ref="AQ14:AU14"/>
    <mergeCell ref="AK15:AK16"/>
    <mergeCell ref="AL15:AL16"/>
    <mergeCell ref="AM15:AM16"/>
    <mergeCell ref="AN15:AN16"/>
    <mergeCell ref="AO15:AO16"/>
    <mergeCell ref="AQ15:AQ16"/>
    <mergeCell ref="AR15:AR16"/>
    <mergeCell ref="AS15:AS16"/>
    <mergeCell ref="AT15:AT16"/>
    <mergeCell ref="AU15:AU16"/>
    <mergeCell ref="AK2:AO2"/>
    <mergeCell ref="AQ2:AU2"/>
    <mergeCell ref="AK3:AO3"/>
    <mergeCell ref="AQ3:AU3"/>
    <mergeCell ref="AK4:AK5"/>
    <mergeCell ref="AL4:AL5"/>
    <mergeCell ref="AM4:AM5"/>
    <mergeCell ref="AN4:AN5"/>
    <mergeCell ref="AO4:AO5"/>
    <mergeCell ref="AQ4:AQ5"/>
    <mergeCell ref="AR4:AR5"/>
    <mergeCell ref="AS4:AS5"/>
    <mergeCell ref="AT4:AT5"/>
    <mergeCell ref="AU4:AU5"/>
    <mergeCell ref="B32:B33"/>
    <mergeCell ref="C32:F32"/>
    <mergeCell ref="B2:F2"/>
    <mergeCell ref="B3:F3"/>
    <mergeCell ref="B4:B5"/>
    <mergeCell ref="C4:F4"/>
    <mergeCell ref="B12:F12"/>
    <mergeCell ref="B13:B14"/>
    <mergeCell ref="C13:F13"/>
    <mergeCell ref="B22:F22"/>
    <mergeCell ref="B23:F23"/>
    <mergeCell ref="B24:B25"/>
    <mergeCell ref="C24:F24"/>
    <mergeCell ref="B31:F31"/>
    <mergeCell ref="I2:M2"/>
    <mergeCell ref="I3:M3"/>
    <mergeCell ref="I4:I5"/>
    <mergeCell ref="J4:J5"/>
    <mergeCell ref="K4:K5"/>
    <mergeCell ref="L4:L5"/>
    <mergeCell ref="M4:M5"/>
    <mergeCell ref="I13:M13"/>
    <mergeCell ref="I14:M14"/>
    <mergeCell ref="I15:I16"/>
    <mergeCell ref="J15:J16"/>
    <mergeCell ref="K15:K16"/>
    <mergeCell ref="L15:L16"/>
    <mergeCell ref="M15:M16"/>
    <mergeCell ref="I24:M24"/>
    <mergeCell ref="I25:M25"/>
    <mergeCell ref="I26:I27"/>
    <mergeCell ref="J26:J27"/>
    <mergeCell ref="K26:K27"/>
    <mergeCell ref="L26:L27"/>
    <mergeCell ref="M26:M27"/>
    <mergeCell ref="O2:S2"/>
    <mergeCell ref="O3:S3"/>
    <mergeCell ref="O4:O5"/>
    <mergeCell ref="P4:P5"/>
    <mergeCell ref="Q4:Q5"/>
    <mergeCell ref="R4:R5"/>
    <mergeCell ref="S4:S5"/>
    <mergeCell ref="S26:S27"/>
    <mergeCell ref="O13:S13"/>
    <mergeCell ref="O14:S14"/>
    <mergeCell ref="O15:O16"/>
    <mergeCell ref="P15:P16"/>
    <mergeCell ref="Q15:Q16"/>
    <mergeCell ref="R15:R16"/>
    <mergeCell ref="S15:S16"/>
    <mergeCell ref="O24:S24"/>
    <mergeCell ref="O25:S25"/>
    <mergeCell ref="O26:O27"/>
    <mergeCell ref="P26:P27"/>
    <mergeCell ref="Q26:Q27"/>
    <mergeCell ref="R26:R27"/>
    <mergeCell ref="I35:M35"/>
    <mergeCell ref="O35:S35"/>
    <mergeCell ref="I36:M36"/>
    <mergeCell ref="O36:S36"/>
    <mergeCell ref="I37:I38"/>
    <mergeCell ref="J37:J38"/>
    <mergeCell ref="K37:K38"/>
    <mergeCell ref="L37:L38"/>
    <mergeCell ref="M37:M38"/>
    <mergeCell ref="O37:O38"/>
    <mergeCell ref="P37:P38"/>
    <mergeCell ref="Q37:Q38"/>
    <mergeCell ref="R37:R38"/>
    <mergeCell ref="S37:S38"/>
    <mergeCell ref="V20:AF20"/>
    <mergeCell ref="V21:V22"/>
    <mergeCell ref="W21:Y21"/>
    <mergeCell ref="Z21:AB21"/>
    <mergeCell ref="AC21:AE21"/>
    <mergeCell ref="AF21:AF22"/>
    <mergeCell ref="V2:AH2"/>
    <mergeCell ref="V3:V4"/>
    <mergeCell ref="W3:Y3"/>
    <mergeCell ref="Z3:AB3"/>
    <mergeCell ref="AC3:AE3"/>
    <mergeCell ref="AF3:AH3"/>
    <mergeCell ref="V11:AH11"/>
    <mergeCell ref="V12:V13"/>
    <mergeCell ref="W12:Y12"/>
    <mergeCell ref="Z12:AB12"/>
    <mergeCell ref="AC12:AE12"/>
    <mergeCell ref="AF12:AH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9"/>
  <sheetViews>
    <sheetView tabSelected="1" topLeftCell="S1" workbookViewId="0">
      <selection activeCell="W5" sqref="W5:AH9"/>
    </sheetView>
  </sheetViews>
  <sheetFormatPr defaultRowHeight="14.4" x14ac:dyDescent="0.3"/>
  <cols>
    <col min="12" max="12" width="9.33203125" bestFit="1" customWidth="1"/>
    <col min="13" max="13" width="10.44140625" bestFit="1" customWidth="1"/>
    <col min="15" max="15" width="10.44140625" bestFit="1" customWidth="1"/>
    <col min="18" max="18" width="9.33203125" bestFit="1" customWidth="1"/>
    <col min="19" max="19" width="10.44140625" bestFit="1" customWidth="1"/>
    <col min="22" max="22" width="22.21875" bestFit="1" customWidth="1"/>
    <col min="23" max="23" width="10.44140625" bestFit="1" customWidth="1"/>
    <col min="24" max="24" width="8.88671875" bestFit="1" customWidth="1"/>
    <col min="25" max="32" width="10.44140625" bestFit="1" customWidth="1"/>
    <col min="33" max="33" width="9.77734375" customWidth="1"/>
    <col min="34" max="34" width="10.44140625" bestFit="1" customWidth="1"/>
    <col min="40" max="40" width="9.33203125" bestFit="1" customWidth="1"/>
    <col min="41" max="41" width="10.44140625" bestFit="1" customWidth="1"/>
    <col min="43" max="43" width="10.44140625" bestFit="1" customWidth="1"/>
    <col min="46" max="46" width="9.33203125" bestFit="1" customWidth="1"/>
    <col min="47" max="47" width="10.44140625" bestFit="1" customWidth="1"/>
  </cols>
  <sheetData>
    <row r="1" spans="2:47" x14ac:dyDescent="0.3">
      <c r="I1" s="147" t="s">
        <v>229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  <c r="V1" s="147" t="s">
        <v>235</v>
      </c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K1" s="153" t="s">
        <v>229</v>
      </c>
      <c r="AL1" s="153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2:47" x14ac:dyDescent="0.3">
      <c r="B2" s="160" t="s">
        <v>123</v>
      </c>
      <c r="C2" s="160"/>
      <c r="D2" s="160"/>
      <c r="E2" s="160"/>
      <c r="F2" s="160"/>
      <c r="I2" s="147" t="s">
        <v>171</v>
      </c>
      <c r="J2" s="147"/>
      <c r="K2" s="147"/>
      <c r="L2" s="147"/>
      <c r="M2" s="147"/>
      <c r="N2" s="103"/>
      <c r="O2" s="147" t="s">
        <v>172</v>
      </c>
      <c r="P2" s="147"/>
      <c r="Q2" s="147"/>
      <c r="R2" s="147"/>
      <c r="S2" s="147"/>
      <c r="V2" s="147" t="s">
        <v>175</v>
      </c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K2" s="153" t="s">
        <v>171</v>
      </c>
      <c r="AL2" s="153"/>
      <c r="AM2" s="153"/>
      <c r="AN2" s="153"/>
      <c r="AO2" s="153"/>
      <c r="AP2" s="27"/>
      <c r="AQ2" s="153" t="s">
        <v>172</v>
      </c>
      <c r="AR2" s="153"/>
      <c r="AS2" s="153"/>
      <c r="AT2" s="153"/>
      <c r="AU2" s="153"/>
    </row>
    <row r="3" spans="2:47" x14ac:dyDescent="0.3">
      <c r="B3" s="160" t="s">
        <v>117</v>
      </c>
      <c r="C3" s="160"/>
      <c r="D3" s="160"/>
      <c r="E3" s="160"/>
      <c r="F3" s="160"/>
      <c r="I3" s="161" t="s">
        <v>173</v>
      </c>
      <c r="J3" s="161"/>
      <c r="K3" s="161"/>
      <c r="L3" s="161"/>
      <c r="M3" s="161"/>
      <c r="N3" s="103"/>
      <c r="O3" s="161" t="s">
        <v>173</v>
      </c>
      <c r="P3" s="161"/>
      <c r="Q3" s="161"/>
      <c r="R3" s="161"/>
      <c r="S3" s="161"/>
      <c r="V3" s="148" t="s">
        <v>131</v>
      </c>
      <c r="W3" s="149" t="s">
        <v>217</v>
      </c>
      <c r="X3" s="149"/>
      <c r="Y3" s="149"/>
      <c r="Z3" s="149" t="s">
        <v>215</v>
      </c>
      <c r="AA3" s="149"/>
      <c r="AB3" s="149"/>
      <c r="AC3" s="149" t="s">
        <v>216</v>
      </c>
      <c r="AD3" s="149"/>
      <c r="AE3" s="149"/>
      <c r="AF3" s="149" t="s">
        <v>126</v>
      </c>
      <c r="AG3" s="149"/>
      <c r="AH3" s="149"/>
      <c r="AK3" s="171" t="s">
        <v>173</v>
      </c>
      <c r="AL3" s="171"/>
      <c r="AM3" s="171"/>
      <c r="AN3" s="171"/>
      <c r="AO3" s="171"/>
      <c r="AP3" s="27"/>
      <c r="AQ3" s="171" t="s">
        <v>173</v>
      </c>
      <c r="AR3" s="171"/>
      <c r="AS3" s="171"/>
      <c r="AT3" s="171"/>
      <c r="AU3" s="171"/>
    </row>
    <row r="4" spans="2:47" x14ac:dyDescent="0.3">
      <c r="B4" s="160" t="s">
        <v>91</v>
      </c>
      <c r="C4" s="160" t="s">
        <v>92</v>
      </c>
      <c r="D4" s="160"/>
      <c r="E4" s="160"/>
      <c r="F4" s="160"/>
      <c r="I4" s="148" t="s">
        <v>91</v>
      </c>
      <c r="J4" s="159" t="s">
        <v>142</v>
      </c>
      <c r="K4" s="159" t="s">
        <v>143</v>
      </c>
      <c r="L4" s="159" t="s">
        <v>144</v>
      </c>
      <c r="M4" s="159" t="s">
        <v>145</v>
      </c>
      <c r="N4" s="88"/>
      <c r="O4" s="148" t="s">
        <v>91</v>
      </c>
      <c r="P4" s="159" t="s">
        <v>142</v>
      </c>
      <c r="Q4" s="159" t="s">
        <v>143</v>
      </c>
      <c r="R4" s="159" t="s">
        <v>144</v>
      </c>
      <c r="S4" s="159" t="s">
        <v>145</v>
      </c>
      <c r="V4" s="148" t="s">
        <v>131</v>
      </c>
      <c r="W4" s="102" t="s">
        <v>3</v>
      </c>
      <c r="X4" s="102" t="s">
        <v>4</v>
      </c>
      <c r="Y4" s="102" t="s">
        <v>5</v>
      </c>
      <c r="Z4" s="102" t="s">
        <v>3</v>
      </c>
      <c r="AA4" s="102" t="s">
        <v>4</v>
      </c>
      <c r="AB4" s="102" t="s">
        <v>5</v>
      </c>
      <c r="AC4" s="102" t="s">
        <v>3</v>
      </c>
      <c r="AD4" s="102" t="s">
        <v>4</v>
      </c>
      <c r="AE4" s="102" t="s">
        <v>5</v>
      </c>
      <c r="AF4" s="102" t="s">
        <v>3</v>
      </c>
      <c r="AG4" s="102" t="s">
        <v>4</v>
      </c>
      <c r="AH4" s="102" t="s">
        <v>5</v>
      </c>
      <c r="AK4" s="154" t="s">
        <v>91</v>
      </c>
      <c r="AL4" s="170" t="s">
        <v>142</v>
      </c>
      <c r="AM4" s="170" t="s">
        <v>143</v>
      </c>
      <c r="AN4" s="170" t="s">
        <v>144</v>
      </c>
      <c r="AO4" s="170" t="s">
        <v>145</v>
      </c>
      <c r="AQ4" s="154" t="s">
        <v>91</v>
      </c>
      <c r="AR4" s="170" t="s">
        <v>142</v>
      </c>
      <c r="AS4" s="170" t="s">
        <v>143</v>
      </c>
      <c r="AT4" s="170" t="s">
        <v>144</v>
      </c>
      <c r="AU4" s="170" t="s">
        <v>145</v>
      </c>
    </row>
    <row r="5" spans="2:47" x14ac:dyDescent="0.3">
      <c r="B5" s="160"/>
      <c r="C5" t="s">
        <v>114</v>
      </c>
      <c r="D5" t="s">
        <v>115</v>
      </c>
      <c r="E5" t="s">
        <v>121</v>
      </c>
      <c r="F5" t="s">
        <v>122</v>
      </c>
      <c r="I5" s="148"/>
      <c r="J5" s="159"/>
      <c r="K5" s="159" t="s">
        <v>116</v>
      </c>
      <c r="L5" s="159" t="s">
        <v>125</v>
      </c>
      <c r="M5" s="159"/>
      <c r="N5" s="88"/>
      <c r="O5" s="148"/>
      <c r="P5" s="159"/>
      <c r="Q5" s="159" t="s">
        <v>116</v>
      </c>
      <c r="R5" s="159" t="s">
        <v>125</v>
      </c>
      <c r="S5" s="159"/>
      <c r="V5" s="92" t="s">
        <v>178</v>
      </c>
      <c r="W5" s="97">
        <f>M6</f>
        <v>511164.99823548319</v>
      </c>
      <c r="X5" s="97">
        <v>0</v>
      </c>
      <c r="Y5" s="97">
        <f>W5+X5</f>
        <v>511164.99823548319</v>
      </c>
      <c r="Z5" s="97">
        <f>M7</f>
        <v>629756.91391990567</v>
      </c>
      <c r="AA5" s="97">
        <v>0</v>
      </c>
      <c r="AB5" s="97">
        <f>Z5+AA5</f>
        <v>629756.91391990567</v>
      </c>
      <c r="AC5" s="97">
        <f>M8</f>
        <v>843790.51454671577</v>
      </c>
      <c r="AD5" s="97">
        <v>0</v>
      </c>
      <c r="AE5" s="97">
        <f>AC5+AD5</f>
        <v>843790.51454671577</v>
      </c>
      <c r="AF5" s="97">
        <f>AC5+Z5+W5</f>
        <v>1984712.4267021045</v>
      </c>
      <c r="AG5" s="97">
        <f>AD5+AA5+X5</f>
        <v>0</v>
      </c>
      <c r="AH5" s="97">
        <f>AE5+AB5+Y5</f>
        <v>1984712.4267021045</v>
      </c>
      <c r="AI5" s="19">
        <f>AF5-M10</f>
        <v>0</v>
      </c>
      <c r="AJ5" s="19"/>
      <c r="AK5" s="154"/>
      <c r="AL5" s="170"/>
      <c r="AM5" s="170" t="s">
        <v>116</v>
      </c>
      <c r="AN5" s="170" t="s">
        <v>125</v>
      </c>
      <c r="AO5" s="170"/>
      <c r="AQ5" s="154"/>
      <c r="AR5" s="170"/>
      <c r="AS5" s="170" t="s">
        <v>116</v>
      </c>
      <c r="AT5" s="170" t="s">
        <v>125</v>
      </c>
      <c r="AU5" s="170"/>
    </row>
    <row r="6" spans="2:47" x14ac:dyDescent="0.3">
      <c r="B6">
        <v>2018</v>
      </c>
      <c r="C6" s="18">
        <f>'Quadros 8.4.1 a 8.4.4'!AA26</f>
        <v>2031.4881434186918</v>
      </c>
      <c r="D6" s="18">
        <f>'Quadros 8.4.1 a 8.4.4'!AB26</f>
        <v>2905.0872721483042</v>
      </c>
      <c r="E6" s="18">
        <f>'Quadros 8.4.1 a 8.4.4'!AC26</f>
        <v>2447.0694427971334</v>
      </c>
      <c r="F6" s="18">
        <f>'Quadros 8.4.1 a 8.4.4'!AD26</f>
        <v>415.5812993784416</v>
      </c>
      <c r="I6" s="60">
        <v>2018</v>
      </c>
      <c r="J6" s="63">
        <f>E6</f>
        <v>2447.0694427971334</v>
      </c>
      <c r="K6" s="62">
        <f>F6</f>
        <v>415.5812993784416</v>
      </c>
      <c r="L6" s="54">
        <v>1230</v>
      </c>
      <c r="M6" s="63">
        <f>K6*L6</f>
        <v>511164.99823548319</v>
      </c>
      <c r="N6" s="88"/>
      <c r="O6" s="60">
        <v>2018</v>
      </c>
      <c r="P6" s="63">
        <f>J6</f>
        <v>2447.0694427971334</v>
      </c>
      <c r="Q6" s="62">
        <f>P8*0.1</f>
        <v>364.50754822008912</v>
      </c>
      <c r="R6" s="54">
        <f>L6</f>
        <v>1230</v>
      </c>
      <c r="S6" s="63">
        <f>Q6*R6</f>
        <v>448344.28431070963</v>
      </c>
      <c r="V6" s="92" t="s">
        <v>179</v>
      </c>
      <c r="W6" s="97">
        <f>M17</f>
        <v>734120.83283914009</v>
      </c>
      <c r="X6" s="97">
        <v>0</v>
      </c>
      <c r="Y6" s="97">
        <f t="shared" ref="Y6:Y7" si="0">W6+X6</f>
        <v>734120.83283914009</v>
      </c>
      <c r="Z6" s="97">
        <f>M18</f>
        <v>153599.24729753798</v>
      </c>
      <c r="AA6" s="97">
        <v>0</v>
      </c>
      <c r="AB6" s="97">
        <f t="shared" ref="AB6:AB7" si="1">Z6+AA6</f>
        <v>153599.24729753798</v>
      </c>
      <c r="AC6" s="97">
        <f>M19</f>
        <v>205802.56452358922</v>
      </c>
      <c r="AD6" s="97">
        <v>0</v>
      </c>
      <c r="AE6" s="97">
        <f t="shared" ref="AE6:AE7" si="2">AC6+AD6</f>
        <v>205802.56452358922</v>
      </c>
      <c r="AF6" s="97">
        <f t="shared" ref="AF6:AH6" si="3">AC6+Z6+W6</f>
        <v>1093522.6446602673</v>
      </c>
      <c r="AG6" s="97">
        <f t="shared" si="3"/>
        <v>0</v>
      </c>
      <c r="AH6" s="97">
        <f t="shared" si="3"/>
        <v>1093522.6446602673</v>
      </c>
      <c r="AI6" s="19">
        <f>AH6-M21</f>
        <v>0</v>
      </c>
      <c r="AJ6" s="19"/>
      <c r="AK6" s="21"/>
      <c r="AL6" s="22"/>
      <c r="AM6" s="22"/>
      <c r="AN6" s="23"/>
      <c r="AO6" s="22"/>
      <c r="AQ6" s="21"/>
      <c r="AR6" s="22"/>
      <c r="AS6" s="22"/>
      <c r="AT6" s="23"/>
      <c r="AU6" s="22"/>
    </row>
    <row r="7" spans="2:47" x14ac:dyDescent="0.3">
      <c r="B7">
        <f>B6+5</f>
        <v>2023</v>
      </c>
      <c r="C7" s="18">
        <f>'Quadros 8.4.1 a 8.4.4'!AA27</f>
        <v>2447.0694427971334</v>
      </c>
      <c r="D7" s="18">
        <f>'Quadros 8.4.1 a 8.4.4'!AB27</f>
        <v>3058.8368034964165</v>
      </c>
      <c r="E7" s="18">
        <f>'Quadros 8.4.1 a 8.4.4'!AC27</f>
        <v>2959.0669337889267</v>
      </c>
      <c r="F7" s="18">
        <f>'Quadros 8.4.1 a 8.4.4'!AD27</f>
        <v>511.99749099179326</v>
      </c>
      <c r="I7" s="60">
        <f>I6+5</f>
        <v>2023</v>
      </c>
      <c r="J7" s="63">
        <f t="shared" ref="J7:K8" si="4">E7</f>
        <v>2959.0669337889267</v>
      </c>
      <c r="K7" s="62">
        <f t="shared" si="4"/>
        <v>511.99749099179326</v>
      </c>
      <c r="L7" s="54">
        <f>L6</f>
        <v>1230</v>
      </c>
      <c r="M7" s="63">
        <f>K7*L7</f>
        <v>629756.91391990567</v>
      </c>
      <c r="N7" s="88"/>
      <c r="O7" s="60">
        <f>O6+5</f>
        <v>2023</v>
      </c>
      <c r="P7" s="63">
        <f>J7</f>
        <v>2959.0669337889267</v>
      </c>
      <c r="Q7" s="62">
        <f>P8*0.1</f>
        <v>364.50754822008912</v>
      </c>
      <c r="R7" s="54">
        <f>L7</f>
        <v>1230</v>
      </c>
      <c r="S7" s="63">
        <f>Q7*R7</f>
        <v>448344.28431070963</v>
      </c>
      <c r="V7" s="92" t="s">
        <v>250</v>
      </c>
      <c r="W7" s="97"/>
      <c r="X7" s="97"/>
      <c r="Y7" s="97">
        <f t="shared" si="0"/>
        <v>0</v>
      </c>
      <c r="Z7" s="97"/>
      <c r="AA7" s="97"/>
      <c r="AB7" s="97">
        <f t="shared" si="1"/>
        <v>0</v>
      </c>
      <c r="AC7" s="97"/>
      <c r="AD7" s="97"/>
      <c r="AE7" s="97">
        <f t="shared" si="2"/>
        <v>0</v>
      </c>
      <c r="AF7" s="97">
        <f t="shared" ref="AF7" si="5">AC7+Z7+W7</f>
        <v>0</v>
      </c>
      <c r="AG7" s="97">
        <f t="shared" ref="AG7" si="6">AD7+AA7+X7</f>
        <v>0</v>
      </c>
      <c r="AH7" s="97">
        <f t="shared" ref="AH7" si="7">AE7+AB7+Y7</f>
        <v>0</v>
      </c>
      <c r="AK7" s="21"/>
      <c r="AL7" s="22"/>
      <c r="AM7" s="22"/>
      <c r="AN7" s="23"/>
      <c r="AO7" s="22"/>
      <c r="AQ7" s="21"/>
      <c r="AR7" s="22"/>
      <c r="AS7" s="22"/>
      <c r="AT7" s="23"/>
      <c r="AU7" s="22"/>
    </row>
    <row r="8" spans="2:47" x14ac:dyDescent="0.3">
      <c r="B8">
        <f>B7+5</f>
        <v>2028</v>
      </c>
      <c r="C8" s="18">
        <f>'Quadros 8.4.1 a 8.4.4'!AA28</f>
        <v>2959.0669337889267</v>
      </c>
      <c r="D8" s="18">
        <f>'Quadros 8.4.1 a 8.4.4'!AB28</f>
        <v>3287.8521486543632</v>
      </c>
      <c r="E8" s="18">
        <f>'Quadros 8.4.1 a 8.4.4'!AC28</f>
        <v>3645.0754822008907</v>
      </c>
      <c r="F8" s="18">
        <f>'Quadros 8.4.1 a 8.4.4'!AD28</f>
        <v>686.00854841196406</v>
      </c>
      <c r="I8" s="60">
        <f>I7+5</f>
        <v>2028</v>
      </c>
      <c r="J8" s="63">
        <f t="shared" si="4"/>
        <v>3645.0754822008907</v>
      </c>
      <c r="K8" s="62">
        <f t="shared" si="4"/>
        <v>686.00854841196406</v>
      </c>
      <c r="L8" s="54">
        <f>L7</f>
        <v>1230</v>
      </c>
      <c r="M8" s="63">
        <f>K8*L8</f>
        <v>843790.51454671577</v>
      </c>
      <c r="N8" s="88"/>
      <c r="O8" s="60">
        <f>O7+5</f>
        <v>2028</v>
      </c>
      <c r="P8" s="63">
        <f>J8</f>
        <v>3645.0754822008907</v>
      </c>
      <c r="Q8" s="62">
        <f>P8*0.2</f>
        <v>729.01509644017824</v>
      </c>
      <c r="R8" s="54">
        <f>L8</f>
        <v>1230</v>
      </c>
      <c r="S8" s="63">
        <f>Q8*R8</f>
        <v>896688.56862141925</v>
      </c>
      <c r="V8" s="92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K8" s="21"/>
      <c r="AL8" s="22"/>
      <c r="AM8" s="22"/>
      <c r="AN8" s="23"/>
      <c r="AO8" s="22"/>
      <c r="AQ8" s="21"/>
      <c r="AR8" s="22"/>
      <c r="AS8" s="22"/>
      <c r="AT8" s="23"/>
      <c r="AU8" s="22"/>
    </row>
    <row r="9" spans="2:47" x14ac:dyDescent="0.3">
      <c r="B9">
        <f>B8+10</f>
        <v>2038</v>
      </c>
      <c r="C9" s="18">
        <f>'Quadros 8.4.1 a 8.4.4'!AA29</f>
        <v>3645.0754822008907</v>
      </c>
      <c r="D9" s="18">
        <f>'Quadros 8.4.1 a 8.4.4'!AB29</f>
        <v>3645.0754822008907</v>
      </c>
      <c r="E9" s="18">
        <f>'Quadros 8.4.1 a 8.4.4'!AC29</f>
        <v>3645.0754822008907</v>
      </c>
      <c r="F9" s="18">
        <f>'Quadros 8.4.1 a 8.4.4'!AD29</f>
        <v>0</v>
      </c>
      <c r="I9" s="60">
        <f>I8+10</f>
        <v>2038</v>
      </c>
      <c r="J9" s="60"/>
      <c r="K9" s="60"/>
      <c r="L9" s="60"/>
      <c r="M9" s="60"/>
      <c r="N9" s="88"/>
      <c r="O9" s="60">
        <f>O8+10</f>
        <v>2038</v>
      </c>
      <c r="P9" s="60"/>
      <c r="Q9" s="60"/>
      <c r="R9" s="60"/>
      <c r="S9" s="60"/>
      <c r="V9" s="92" t="s">
        <v>126</v>
      </c>
      <c r="W9" s="106">
        <f t="shared" ref="W9:AH9" si="8">SUM(W5:W8)</f>
        <v>1245285.8310746234</v>
      </c>
      <c r="X9" s="106">
        <f t="shared" si="8"/>
        <v>0</v>
      </c>
      <c r="Y9" s="106">
        <f t="shared" si="8"/>
        <v>1245285.8310746234</v>
      </c>
      <c r="Z9" s="106">
        <f t="shared" si="8"/>
        <v>783356.16121744365</v>
      </c>
      <c r="AA9" s="106">
        <f t="shared" si="8"/>
        <v>0</v>
      </c>
      <c r="AB9" s="106">
        <f t="shared" si="8"/>
        <v>783356.16121744365</v>
      </c>
      <c r="AC9" s="106">
        <f t="shared" si="8"/>
        <v>1049593.079070305</v>
      </c>
      <c r="AD9" s="106">
        <f t="shared" si="8"/>
        <v>0</v>
      </c>
      <c r="AE9" s="106">
        <f t="shared" si="8"/>
        <v>1049593.079070305</v>
      </c>
      <c r="AF9" s="106">
        <f t="shared" si="8"/>
        <v>3078235.0713623716</v>
      </c>
      <c r="AG9" s="106">
        <f t="shared" si="8"/>
        <v>0</v>
      </c>
      <c r="AH9" s="106">
        <f t="shared" si="8"/>
        <v>3078235.0713623716</v>
      </c>
      <c r="AK9" s="21"/>
      <c r="AL9" s="21"/>
      <c r="AM9" s="21"/>
      <c r="AN9" s="21"/>
      <c r="AO9" s="21"/>
      <c r="AQ9" s="21"/>
      <c r="AR9" s="21"/>
      <c r="AS9" s="21"/>
      <c r="AT9" s="21"/>
      <c r="AU9" s="21"/>
    </row>
    <row r="10" spans="2:47" x14ac:dyDescent="0.3">
      <c r="G10" s="19">
        <f>C6+F6+F7+F8</f>
        <v>3645.0754822008907</v>
      </c>
      <c r="I10" s="60" t="s">
        <v>126</v>
      </c>
      <c r="J10" s="60"/>
      <c r="K10" s="63">
        <f>SUM(K6:K9)</f>
        <v>1613.5873387821989</v>
      </c>
      <c r="L10" s="60"/>
      <c r="M10" s="63">
        <f>SUM(M6:M9)</f>
        <v>1984712.4267021045</v>
      </c>
      <c r="N10" s="88"/>
      <c r="O10" s="60" t="s">
        <v>126</v>
      </c>
      <c r="P10" s="60"/>
      <c r="Q10" s="63">
        <f>SUM(Q6:Q9)</f>
        <v>1458.0301928803565</v>
      </c>
      <c r="R10" s="60"/>
      <c r="S10" s="63">
        <f>SUM(S6:S9)</f>
        <v>1793377.1372428385</v>
      </c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K10" s="21" t="s">
        <v>126</v>
      </c>
      <c r="AL10" s="21"/>
      <c r="AM10" s="22"/>
      <c r="AN10" s="21"/>
      <c r="AO10" s="22"/>
      <c r="AQ10" s="21" t="s">
        <v>126</v>
      </c>
      <c r="AR10" s="21"/>
      <c r="AS10" s="22"/>
      <c r="AT10" s="21"/>
      <c r="AU10" s="22"/>
    </row>
    <row r="11" spans="2:47" x14ac:dyDescent="0.3">
      <c r="G11" s="19"/>
      <c r="I11" s="107"/>
      <c r="J11" s="107"/>
      <c r="K11" s="108"/>
      <c r="L11" s="107"/>
      <c r="M11" s="108"/>
      <c r="N11" s="88"/>
      <c r="O11" s="107"/>
      <c r="P11" s="107"/>
      <c r="Q11" s="108"/>
      <c r="R11" s="107"/>
      <c r="S11" s="108"/>
      <c r="V11" s="147" t="s">
        <v>176</v>
      </c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K11" s="30"/>
      <c r="AL11" s="30"/>
      <c r="AM11" s="31"/>
      <c r="AN11" s="30"/>
      <c r="AO11" s="31"/>
      <c r="AQ11" s="30"/>
      <c r="AR11" s="30"/>
      <c r="AS11" s="31"/>
      <c r="AT11" s="30"/>
      <c r="AU11" s="31"/>
    </row>
    <row r="12" spans="2:47" x14ac:dyDescent="0.3">
      <c r="G12" s="19"/>
      <c r="I12" s="147" t="s">
        <v>230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V12" s="148" t="s">
        <v>131</v>
      </c>
      <c r="W12" s="149" t="s">
        <v>217</v>
      </c>
      <c r="X12" s="149"/>
      <c r="Y12" s="149"/>
      <c r="Z12" s="149" t="s">
        <v>215</v>
      </c>
      <c r="AA12" s="149"/>
      <c r="AB12" s="149"/>
      <c r="AC12" s="149" t="s">
        <v>216</v>
      </c>
      <c r="AD12" s="149"/>
      <c r="AE12" s="149"/>
      <c r="AF12" s="149" t="s">
        <v>126</v>
      </c>
      <c r="AG12" s="149"/>
      <c r="AH12" s="149"/>
      <c r="AK12" s="153" t="s">
        <v>230</v>
      </c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</row>
    <row r="13" spans="2:47" x14ac:dyDescent="0.3">
      <c r="G13" s="19"/>
      <c r="I13" s="147" t="s">
        <v>171</v>
      </c>
      <c r="J13" s="147"/>
      <c r="K13" s="147"/>
      <c r="L13" s="147"/>
      <c r="M13" s="147"/>
      <c r="N13" s="110"/>
      <c r="O13" s="147" t="s">
        <v>172</v>
      </c>
      <c r="P13" s="147"/>
      <c r="Q13" s="147"/>
      <c r="R13" s="147"/>
      <c r="S13" s="147"/>
      <c r="V13" s="148" t="s">
        <v>131</v>
      </c>
      <c r="W13" s="102" t="s">
        <v>3</v>
      </c>
      <c r="X13" s="102" t="s">
        <v>4</v>
      </c>
      <c r="Y13" s="102" t="s">
        <v>5</v>
      </c>
      <c r="Z13" s="102" t="s">
        <v>3</v>
      </c>
      <c r="AA13" s="102" t="s">
        <v>4</v>
      </c>
      <c r="AB13" s="102" t="s">
        <v>5</v>
      </c>
      <c r="AC13" s="102" t="s">
        <v>3</v>
      </c>
      <c r="AD13" s="102" t="s">
        <v>4</v>
      </c>
      <c r="AE13" s="102" t="s">
        <v>5</v>
      </c>
      <c r="AF13" s="102" t="s">
        <v>3</v>
      </c>
      <c r="AG13" s="102" t="s">
        <v>4</v>
      </c>
      <c r="AH13" s="102" t="s">
        <v>5</v>
      </c>
      <c r="AK13" s="153" t="s">
        <v>171</v>
      </c>
      <c r="AL13" s="153"/>
      <c r="AM13" s="153"/>
      <c r="AN13" s="153"/>
      <c r="AO13" s="153"/>
      <c r="AP13" s="32"/>
      <c r="AQ13" s="153" t="s">
        <v>172</v>
      </c>
      <c r="AR13" s="153"/>
      <c r="AS13" s="153"/>
      <c r="AT13" s="153"/>
      <c r="AU13" s="153"/>
    </row>
    <row r="14" spans="2:47" x14ac:dyDescent="0.3">
      <c r="G14" s="19"/>
      <c r="I14" s="161" t="s">
        <v>174</v>
      </c>
      <c r="J14" s="161"/>
      <c r="K14" s="161"/>
      <c r="L14" s="161"/>
      <c r="M14" s="161"/>
      <c r="N14" s="103"/>
      <c r="O14" s="161" t="s">
        <v>174</v>
      </c>
      <c r="P14" s="161"/>
      <c r="Q14" s="161"/>
      <c r="R14" s="161"/>
      <c r="S14" s="161"/>
      <c r="V14" s="92" t="s">
        <v>178</v>
      </c>
      <c r="W14" s="97">
        <f>S6</f>
        <v>448344.28431070963</v>
      </c>
      <c r="X14" s="97">
        <v>0</v>
      </c>
      <c r="Y14" s="97">
        <f>W14+X14</f>
        <v>448344.28431070963</v>
      </c>
      <c r="Z14" s="97">
        <f>S7</f>
        <v>448344.28431070963</v>
      </c>
      <c r="AA14" s="97">
        <v>0</v>
      </c>
      <c r="AB14" s="97">
        <f>Z14+AA14</f>
        <v>448344.28431070963</v>
      </c>
      <c r="AC14" s="97">
        <f>S8</f>
        <v>896688.56862141925</v>
      </c>
      <c r="AD14" s="97">
        <v>0</v>
      </c>
      <c r="AE14" s="97">
        <f>AC14+AD14</f>
        <v>896688.56862141925</v>
      </c>
      <c r="AF14" s="97">
        <f>AC14+Z14+W14</f>
        <v>1793377.1372428385</v>
      </c>
      <c r="AG14" s="97">
        <f>AD14+AA14+X14</f>
        <v>0</v>
      </c>
      <c r="AH14" s="97">
        <f>AE14+AB14+Y14</f>
        <v>1793377.1372428385</v>
      </c>
      <c r="AI14" s="19">
        <f>AF14-S10</f>
        <v>0</v>
      </c>
      <c r="AJ14" s="19"/>
      <c r="AK14" s="171" t="s">
        <v>174</v>
      </c>
      <c r="AL14" s="171"/>
      <c r="AM14" s="171"/>
      <c r="AN14" s="171"/>
      <c r="AO14" s="171"/>
      <c r="AP14" s="27"/>
      <c r="AQ14" s="171" t="s">
        <v>174</v>
      </c>
      <c r="AR14" s="171"/>
      <c r="AS14" s="171"/>
      <c r="AT14" s="171"/>
      <c r="AU14" s="171"/>
    </row>
    <row r="15" spans="2:47" x14ac:dyDescent="0.3">
      <c r="G15" s="19"/>
      <c r="I15" s="148" t="s">
        <v>91</v>
      </c>
      <c r="J15" s="159" t="s">
        <v>142</v>
      </c>
      <c r="K15" s="159" t="s">
        <v>143</v>
      </c>
      <c r="L15" s="159" t="s">
        <v>144</v>
      </c>
      <c r="M15" s="159" t="s">
        <v>145</v>
      </c>
      <c r="N15" s="88"/>
      <c r="O15" s="148" t="s">
        <v>91</v>
      </c>
      <c r="P15" s="159" t="s">
        <v>142</v>
      </c>
      <c r="Q15" s="159" t="s">
        <v>143</v>
      </c>
      <c r="R15" s="159" t="s">
        <v>144</v>
      </c>
      <c r="S15" s="159" t="s">
        <v>145</v>
      </c>
      <c r="V15" s="92" t="s">
        <v>179</v>
      </c>
      <c r="W15" s="97">
        <f>S17</f>
        <v>109352.26446602674</v>
      </c>
      <c r="X15" s="97">
        <v>0</v>
      </c>
      <c r="Y15" s="97">
        <f t="shared" ref="Y15" si="9">W15+X15</f>
        <v>109352.26446602674</v>
      </c>
      <c r="Z15" s="97">
        <f>S18</f>
        <v>109352.26446602674</v>
      </c>
      <c r="AA15" s="97">
        <v>0</v>
      </c>
      <c r="AB15" s="97">
        <f t="shared" ref="AB15" si="10">Z15+AA15</f>
        <v>109352.26446602674</v>
      </c>
      <c r="AC15" s="97">
        <f>S19</f>
        <v>218704.52893205348</v>
      </c>
      <c r="AD15" s="97">
        <v>0</v>
      </c>
      <c r="AE15" s="97">
        <f t="shared" ref="AE15" si="11">AC15+AD15</f>
        <v>218704.52893205348</v>
      </c>
      <c r="AF15" s="97">
        <f t="shared" ref="AF15:AH16" si="12">AC15+Z15+W15</f>
        <v>437409.05786410696</v>
      </c>
      <c r="AG15" s="97">
        <f t="shared" si="12"/>
        <v>0</v>
      </c>
      <c r="AH15" s="97">
        <f t="shared" si="12"/>
        <v>437409.05786410696</v>
      </c>
      <c r="AI15" s="19">
        <f>AF15-S21</f>
        <v>0</v>
      </c>
      <c r="AJ15" s="19"/>
      <c r="AK15" s="154" t="s">
        <v>91</v>
      </c>
      <c r="AL15" s="170" t="s">
        <v>142</v>
      </c>
      <c r="AM15" s="170" t="s">
        <v>143</v>
      </c>
      <c r="AN15" s="170" t="s">
        <v>144</v>
      </c>
      <c r="AO15" s="170" t="s">
        <v>145</v>
      </c>
      <c r="AQ15" s="154" t="s">
        <v>91</v>
      </c>
      <c r="AR15" s="170" t="s">
        <v>142</v>
      </c>
      <c r="AS15" s="170" t="s">
        <v>143</v>
      </c>
      <c r="AT15" s="170" t="s">
        <v>144</v>
      </c>
      <c r="AU15" s="170" t="s">
        <v>145</v>
      </c>
    </row>
    <row r="16" spans="2:47" x14ac:dyDescent="0.3">
      <c r="G16" s="19"/>
      <c r="I16" s="148"/>
      <c r="J16" s="159"/>
      <c r="K16" s="159" t="s">
        <v>116</v>
      </c>
      <c r="L16" s="159" t="s">
        <v>125</v>
      </c>
      <c r="M16" s="159"/>
      <c r="N16" s="88"/>
      <c r="O16" s="148"/>
      <c r="P16" s="159"/>
      <c r="Q16" s="159" t="s">
        <v>116</v>
      </c>
      <c r="R16" s="159" t="s">
        <v>125</v>
      </c>
      <c r="S16" s="159"/>
      <c r="V16" s="92" t="s">
        <v>250</v>
      </c>
      <c r="W16" s="97"/>
      <c r="X16" s="97"/>
      <c r="Y16" s="97">
        <f>W16+X16</f>
        <v>0</v>
      </c>
      <c r="Z16" s="97"/>
      <c r="AA16" s="97"/>
      <c r="AB16" s="97">
        <f>Z16+AA16</f>
        <v>0</v>
      </c>
      <c r="AC16" s="97"/>
      <c r="AD16" s="97"/>
      <c r="AE16" s="97">
        <f>AC16+AD16</f>
        <v>0</v>
      </c>
      <c r="AF16" s="97">
        <f t="shared" si="12"/>
        <v>0</v>
      </c>
      <c r="AG16" s="97">
        <f t="shared" si="12"/>
        <v>0</v>
      </c>
      <c r="AH16" s="97">
        <f t="shared" si="12"/>
        <v>0</v>
      </c>
      <c r="AK16" s="154"/>
      <c r="AL16" s="170"/>
      <c r="AM16" s="170" t="s">
        <v>116</v>
      </c>
      <c r="AN16" s="170" t="s">
        <v>125</v>
      </c>
      <c r="AO16" s="170"/>
      <c r="AQ16" s="154"/>
      <c r="AR16" s="170"/>
      <c r="AS16" s="170" t="s">
        <v>116</v>
      </c>
      <c r="AT16" s="170" t="s">
        <v>125</v>
      </c>
      <c r="AU16" s="170"/>
    </row>
    <row r="17" spans="2:47" x14ac:dyDescent="0.3">
      <c r="G17" s="19"/>
      <c r="I17" s="60">
        <v>2018</v>
      </c>
      <c r="J17" s="63">
        <f>J6</f>
        <v>2447.0694427971334</v>
      </c>
      <c r="K17" s="62">
        <f>J17</f>
        <v>2447.0694427971334</v>
      </c>
      <c r="L17" s="54">
        <v>300</v>
      </c>
      <c r="M17" s="63">
        <f>K17*L17</f>
        <v>734120.83283914009</v>
      </c>
      <c r="N17" s="88"/>
      <c r="O17" s="60">
        <v>2018</v>
      </c>
      <c r="P17" s="63">
        <f>J17</f>
        <v>2447.0694427971334</v>
      </c>
      <c r="Q17" s="62">
        <f>P19*0.1</f>
        <v>364.50754822008912</v>
      </c>
      <c r="R17" s="54">
        <f>L17</f>
        <v>300</v>
      </c>
      <c r="S17" s="63">
        <f>Q17*R17</f>
        <v>109352.26446602674</v>
      </c>
      <c r="V17" s="92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K17" s="21"/>
      <c r="AL17" s="22"/>
      <c r="AM17" s="22"/>
      <c r="AN17" s="23"/>
      <c r="AO17" s="22"/>
      <c r="AQ17" s="21"/>
      <c r="AR17" s="22"/>
      <c r="AS17" s="22"/>
      <c r="AT17" s="23"/>
      <c r="AU17" s="22"/>
    </row>
    <row r="18" spans="2:47" x14ac:dyDescent="0.3">
      <c r="G18" s="19"/>
      <c r="I18" s="60">
        <f>I17+5</f>
        <v>2023</v>
      </c>
      <c r="J18" s="63">
        <f>J7</f>
        <v>2959.0669337889267</v>
      </c>
      <c r="K18" s="62">
        <f>J18-K17</f>
        <v>511.99749099179326</v>
      </c>
      <c r="L18" s="54">
        <f>L17</f>
        <v>300</v>
      </c>
      <c r="M18" s="63">
        <f>K18*L18</f>
        <v>153599.24729753798</v>
      </c>
      <c r="N18" s="88"/>
      <c r="O18" s="60">
        <f>O17+5</f>
        <v>2023</v>
      </c>
      <c r="P18" s="63">
        <f>J18</f>
        <v>2959.0669337889267</v>
      </c>
      <c r="Q18" s="62">
        <f>P19*0.1</f>
        <v>364.50754822008912</v>
      </c>
      <c r="R18" s="54">
        <f>L18</f>
        <v>300</v>
      </c>
      <c r="S18" s="63">
        <f>Q18*R18</f>
        <v>109352.26446602674</v>
      </c>
      <c r="V18" s="92" t="s">
        <v>126</v>
      </c>
      <c r="W18" s="106">
        <f t="shared" ref="W18:AH18" si="13">SUM(W14:W17)</f>
        <v>557696.54877673637</v>
      </c>
      <c r="X18" s="106">
        <f t="shared" si="13"/>
        <v>0</v>
      </c>
      <c r="Y18" s="106">
        <f t="shared" si="13"/>
        <v>557696.54877673637</v>
      </c>
      <c r="Z18" s="106">
        <f t="shared" si="13"/>
        <v>557696.54877673637</v>
      </c>
      <c r="AA18" s="106">
        <f t="shared" si="13"/>
        <v>0</v>
      </c>
      <c r="AB18" s="106">
        <f t="shared" si="13"/>
        <v>557696.54877673637</v>
      </c>
      <c r="AC18" s="106">
        <f t="shared" si="13"/>
        <v>1115393.0975534727</v>
      </c>
      <c r="AD18" s="106">
        <f t="shared" si="13"/>
        <v>0</v>
      </c>
      <c r="AE18" s="106">
        <f t="shared" si="13"/>
        <v>1115393.0975534727</v>
      </c>
      <c r="AF18" s="106">
        <f t="shared" si="13"/>
        <v>2230786.1951069455</v>
      </c>
      <c r="AG18" s="106">
        <f t="shared" si="13"/>
        <v>0</v>
      </c>
      <c r="AH18" s="106">
        <f t="shared" si="13"/>
        <v>2230786.1951069455</v>
      </c>
      <c r="AK18" s="21"/>
      <c r="AL18" s="22"/>
      <c r="AM18" s="22"/>
      <c r="AN18" s="23"/>
      <c r="AO18" s="22"/>
      <c r="AQ18" s="21"/>
      <c r="AR18" s="22"/>
      <c r="AS18" s="22"/>
      <c r="AT18" s="23"/>
      <c r="AU18" s="22"/>
    </row>
    <row r="19" spans="2:47" x14ac:dyDescent="0.3">
      <c r="G19" s="19"/>
      <c r="I19" s="60">
        <f>I18+5</f>
        <v>2028</v>
      </c>
      <c r="J19" s="63">
        <f>J8</f>
        <v>3645.0754822008907</v>
      </c>
      <c r="K19" s="62">
        <f>J19-K18-K17</f>
        <v>686.00854841196406</v>
      </c>
      <c r="L19" s="54">
        <f>L18</f>
        <v>300</v>
      </c>
      <c r="M19" s="63">
        <f>K19*L19</f>
        <v>205802.56452358922</v>
      </c>
      <c r="N19" s="88"/>
      <c r="O19" s="60">
        <f>O18+5</f>
        <v>2028</v>
      </c>
      <c r="P19" s="63">
        <f>J19</f>
        <v>3645.0754822008907</v>
      </c>
      <c r="Q19" s="62">
        <f>P19*0.2</f>
        <v>729.01509644017824</v>
      </c>
      <c r="R19" s="54">
        <f>L19</f>
        <v>300</v>
      </c>
      <c r="S19" s="63">
        <f>Q19*R19</f>
        <v>218704.52893205348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K19" s="21"/>
      <c r="AL19" s="22"/>
      <c r="AM19" s="22"/>
      <c r="AN19" s="23"/>
      <c r="AO19" s="22"/>
      <c r="AQ19" s="21"/>
      <c r="AR19" s="22"/>
      <c r="AS19" s="22"/>
      <c r="AT19" s="23"/>
      <c r="AU19" s="22"/>
    </row>
    <row r="20" spans="2:47" x14ac:dyDescent="0.3">
      <c r="G20" s="19"/>
      <c r="I20" s="60">
        <f>I19+10</f>
        <v>2038</v>
      </c>
      <c r="J20" s="60"/>
      <c r="K20" s="60"/>
      <c r="L20" s="60"/>
      <c r="M20" s="60"/>
      <c r="N20" s="88"/>
      <c r="O20" s="60">
        <f>O19+10</f>
        <v>2038</v>
      </c>
      <c r="P20" s="60"/>
      <c r="Q20" s="60"/>
      <c r="R20" s="60"/>
      <c r="S20" s="60"/>
      <c r="V20" s="147" t="s">
        <v>177</v>
      </c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88"/>
      <c r="AH20" s="88"/>
      <c r="AK20" s="21"/>
      <c r="AL20" s="21"/>
      <c r="AM20" s="21"/>
      <c r="AN20" s="21"/>
      <c r="AO20" s="21"/>
      <c r="AQ20" s="21"/>
      <c r="AR20" s="21"/>
      <c r="AS20" s="21"/>
      <c r="AT20" s="21"/>
      <c r="AU20" s="21"/>
    </row>
    <row r="21" spans="2:47" x14ac:dyDescent="0.3">
      <c r="B21" s="160" t="s">
        <v>118</v>
      </c>
      <c r="C21" s="160"/>
      <c r="D21" s="160"/>
      <c r="E21" s="160"/>
      <c r="F21" s="160"/>
      <c r="I21" s="60" t="s">
        <v>126</v>
      </c>
      <c r="J21" s="60"/>
      <c r="K21" s="63">
        <f>SUM(K17:K20)</f>
        <v>3645.0754822008907</v>
      </c>
      <c r="L21" s="60"/>
      <c r="M21" s="63">
        <f>SUM(M17:M20)</f>
        <v>1093522.6446602673</v>
      </c>
      <c r="N21" s="88"/>
      <c r="O21" s="60" t="s">
        <v>126</v>
      </c>
      <c r="P21" s="60"/>
      <c r="Q21" s="63">
        <f>SUM(Q17:Q20)</f>
        <v>1458.0301928803565</v>
      </c>
      <c r="R21" s="60"/>
      <c r="S21" s="63">
        <f>SUM(S17:S20)</f>
        <v>437409.05786410696</v>
      </c>
      <c r="V21" s="148" t="s">
        <v>131</v>
      </c>
      <c r="W21" s="149" t="s">
        <v>234</v>
      </c>
      <c r="X21" s="149"/>
      <c r="Y21" s="149"/>
      <c r="Z21" s="149" t="s">
        <v>133</v>
      </c>
      <c r="AA21" s="149"/>
      <c r="AB21" s="149"/>
      <c r="AC21" s="149" t="s">
        <v>5</v>
      </c>
      <c r="AD21" s="149"/>
      <c r="AE21" s="149"/>
      <c r="AF21" s="148" t="s">
        <v>140</v>
      </c>
      <c r="AG21" s="88"/>
      <c r="AH21" s="88"/>
      <c r="AK21" s="21" t="s">
        <v>126</v>
      </c>
      <c r="AL21" s="21"/>
      <c r="AM21" s="22"/>
      <c r="AN21" s="21"/>
      <c r="AO21" s="22"/>
      <c r="AQ21" s="21" t="s">
        <v>126</v>
      </c>
      <c r="AR21" s="21"/>
      <c r="AS21" s="22"/>
      <c r="AT21" s="21"/>
      <c r="AU21" s="22"/>
    </row>
    <row r="22" spans="2:47" x14ac:dyDescent="0.3">
      <c r="B22" s="160" t="s">
        <v>91</v>
      </c>
      <c r="C22" s="160" t="s">
        <v>92</v>
      </c>
      <c r="D22" s="160"/>
      <c r="E22" s="160"/>
      <c r="F22" s="160"/>
      <c r="V22" s="148" t="s">
        <v>131</v>
      </c>
      <c r="W22" s="102" t="s">
        <v>217</v>
      </c>
      <c r="X22" s="102" t="s">
        <v>215</v>
      </c>
      <c r="Y22" s="102" t="s">
        <v>216</v>
      </c>
      <c r="Z22" s="102" t="s">
        <v>217</v>
      </c>
      <c r="AA22" s="102" t="s">
        <v>215</v>
      </c>
      <c r="AB22" s="102" t="s">
        <v>216</v>
      </c>
      <c r="AC22" s="102" t="s">
        <v>217</v>
      </c>
      <c r="AD22" s="102" t="s">
        <v>215</v>
      </c>
      <c r="AE22" s="102" t="s">
        <v>216</v>
      </c>
      <c r="AF22" s="148"/>
      <c r="AG22" s="88"/>
      <c r="AH22" s="88"/>
    </row>
    <row r="23" spans="2:47" x14ac:dyDescent="0.3">
      <c r="B23" s="160"/>
      <c r="C23" t="s">
        <v>114</v>
      </c>
      <c r="D23" t="s">
        <v>115</v>
      </c>
      <c r="E23" t="s">
        <v>121</v>
      </c>
      <c r="F23" t="s">
        <v>122</v>
      </c>
      <c r="V23" s="92" t="s">
        <v>178</v>
      </c>
      <c r="W23" s="106">
        <f>Y5</f>
        <v>511164.99823548319</v>
      </c>
      <c r="X23" s="106">
        <f>AB5</f>
        <v>629756.91391990567</v>
      </c>
      <c r="Y23" s="106">
        <f>AE5</f>
        <v>843790.51454671577</v>
      </c>
      <c r="Z23" s="106">
        <f>Y14</f>
        <v>448344.28431070963</v>
      </c>
      <c r="AA23" s="106">
        <f>AB14</f>
        <v>448344.28431070963</v>
      </c>
      <c r="AB23" s="106">
        <f>AE14</f>
        <v>896688.56862141925</v>
      </c>
      <c r="AC23" s="106">
        <f>W23+Z23</f>
        <v>959509.28254619287</v>
      </c>
      <c r="AD23" s="106">
        <f>X23+AA23</f>
        <v>1078101.1982306154</v>
      </c>
      <c r="AE23" s="106">
        <f>Y23+AB23</f>
        <v>1740479.083168135</v>
      </c>
      <c r="AF23" s="106">
        <f>SUM(AC23:AE23)</f>
        <v>3778089.5639449432</v>
      </c>
      <c r="AG23" s="88"/>
      <c r="AH23" s="88"/>
    </row>
    <row r="24" spans="2:47" x14ac:dyDescent="0.3">
      <c r="B24">
        <v>2018</v>
      </c>
      <c r="C24" s="18">
        <f>'Quadros 8.4.1 a 8.4.4'!AA34</f>
        <v>0</v>
      </c>
      <c r="D24" s="18">
        <f>'Quadros 8.4.1 a 8.4.4'!AB34</f>
        <v>915.82219865438469</v>
      </c>
      <c r="E24" s="18">
        <f>'Quadros 8.4.1 a 8.4.4'!AC34</f>
        <v>0</v>
      </c>
      <c r="F24" s="18">
        <f>'Quadros 8.4.1 a 8.4.4'!AD34</f>
        <v>0</v>
      </c>
      <c r="V24" s="92" t="s">
        <v>179</v>
      </c>
      <c r="W24" s="106">
        <f>Y6</f>
        <v>734120.83283914009</v>
      </c>
      <c r="X24" s="106">
        <f>AB6</f>
        <v>153599.24729753798</v>
      </c>
      <c r="Y24" s="106">
        <f>AE6</f>
        <v>205802.56452358922</v>
      </c>
      <c r="Z24" s="106">
        <f>Y15</f>
        <v>109352.26446602674</v>
      </c>
      <c r="AA24" s="106">
        <f>AB15</f>
        <v>109352.26446602674</v>
      </c>
      <c r="AB24" s="106">
        <f>AE15</f>
        <v>218704.52893205348</v>
      </c>
      <c r="AC24" s="106">
        <f t="shared" ref="AC24:AE27" si="14">W24+Z24</f>
        <v>843473.09730516677</v>
      </c>
      <c r="AD24" s="106">
        <f t="shared" si="14"/>
        <v>262951.51176356472</v>
      </c>
      <c r="AE24" s="106">
        <f t="shared" si="14"/>
        <v>424507.09345564269</v>
      </c>
      <c r="AF24" s="106">
        <f>SUM(AC24:AE24)</f>
        <v>1530931.7025243742</v>
      </c>
      <c r="AG24" s="88"/>
      <c r="AH24" s="88"/>
    </row>
    <row r="25" spans="2:47" x14ac:dyDescent="0.3">
      <c r="B25">
        <f>B24+5</f>
        <v>2023</v>
      </c>
      <c r="C25" s="18">
        <f>'Quadros 8.4.1 a 8.4.4'!AA35</f>
        <v>0</v>
      </c>
      <c r="D25" s="18">
        <f>'Quadros 8.4.1 a 8.4.4'!AB35</f>
        <v>938.94785681296196</v>
      </c>
      <c r="E25" s="18">
        <f>'Quadros 8.4.1 a 8.4.4'!AC35</f>
        <v>0</v>
      </c>
      <c r="F25" s="18">
        <f>'Quadros 8.4.1 a 8.4.4'!AD35</f>
        <v>0</v>
      </c>
      <c r="V25" s="92" t="s">
        <v>250</v>
      </c>
      <c r="W25" s="106">
        <f>Y7</f>
        <v>0</v>
      </c>
      <c r="X25" s="106">
        <f>AB7</f>
        <v>0</v>
      </c>
      <c r="Y25" s="106">
        <f>AE7</f>
        <v>0</v>
      </c>
      <c r="Z25" s="106">
        <f>Y16</f>
        <v>0</v>
      </c>
      <c r="AA25" s="106">
        <f>AB16</f>
        <v>0</v>
      </c>
      <c r="AB25" s="106">
        <f>AE16</f>
        <v>0</v>
      </c>
      <c r="AC25" s="106">
        <f t="shared" si="14"/>
        <v>0</v>
      </c>
      <c r="AD25" s="106">
        <f t="shared" si="14"/>
        <v>0</v>
      </c>
      <c r="AE25" s="106">
        <f t="shared" si="14"/>
        <v>0</v>
      </c>
      <c r="AF25" s="106">
        <f>SUM(AC25:AE25)</f>
        <v>0</v>
      </c>
      <c r="AG25" s="88"/>
      <c r="AH25" s="88"/>
    </row>
    <row r="26" spans="2:47" x14ac:dyDescent="0.3">
      <c r="B26">
        <f>B25+5</f>
        <v>2028</v>
      </c>
      <c r="C26" s="18">
        <f>'Quadros 8.4.1 a 8.4.4'!AA36</f>
        <v>0</v>
      </c>
      <c r="D26" s="18">
        <f>'Quadros 8.4.1 a 8.4.4'!AB36</f>
        <v>972.30810792432078</v>
      </c>
      <c r="E26" s="18">
        <f>'Quadros 8.4.1 a 8.4.4'!AC36</f>
        <v>0</v>
      </c>
      <c r="F26" s="18">
        <f>'Quadros 8.4.1 a 8.4.4'!AD36</f>
        <v>0</v>
      </c>
      <c r="V26" s="92"/>
      <c r="W26" s="106">
        <f>Y8</f>
        <v>0</v>
      </c>
      <c r="X26" s="106">
        <f>AB8</f>
        <v>0</v>
      </c>
      <c r="Y26" s="106">
        <f>AE8</f>
        <v>0</v>
      </c>
      <c r="Z26" s="106">
        <f>Y17</f>
        <v>0</v>
      </c>
      <c r="AA26" s="106">
        <f>AB17</f>
        <v>0</v>
      </c>
      <c r="AB26" s="106">
        <f>AE17</f>
        <v>0</v>
      </c>
      <c r="AC26" s="106">
        <f t="shared" si="14"/>
        <v>0</v>
      </c>
      <c r="AD26" s="106">
        <f t="shared" si="14"/>
        <v>0</v>
      </c>
      <c r="AE26" s="106">
        <f t="shared" si="14"/>
        <v>0</v>
      </c>
      <c r="AF26" s="106">
        <f>SUM(AC26:AE26)</f>
        <v>0</v>
      </c>
      <c r="AG26" s="88"/>
      <c r="AH26" s="88"/>
    </row>
    <row r="27" spans="2:47" x14ac:dyDescent="0.3">
      <c r="B27">
        <f>B26+10</f>
        <v>2038</v>
      </c>
      <c r="C27" s="18">
        <f>'Quadros 8.4.1 a 8.4.4'!AA37</f>
        <v>0</v>
      </c>
      <c r="D27" s="18">
        <f>'Quadros 8.4.1 a 8.4.4'!AB37</f>
        <v>1022.0320729479009</v>
      </c>
      <c r="E27" s="18">
        <f>'Quadros 8.4.1 a 8.4.4'!AC37</f>
        <v>0</v>
      </c>
      <c r="F27" s="18">
        <f>'Quadros 8.4.1 a 8.4.4'!AD37</f>
        <v>0</v>
      </c>
      <c r="V27" s="92" t="s">
        <v>126</v>
      </c>
      <c r="W27" s="106">
        <f>Y9</f>
        <v>1245285.8310746234</v>
      </c>
      <c r="X27" s="106">
        <f>AB9</f>
        <v>783356.16121744365</v>
      </c>
      <c r="Y27" s="106">
        <f>AE9</f>
        <v>1049593.079070305</v>
      </c>
      <c r="Z27" s="106">
        <f>Y18</f>
        <v>557696.54877673637</v>
      </c>
      <c r="AA27" s="106">
        <f>AB18</f>
        <v>557696.54877673637</v>
      </c>
      <c r="AB27" s="106">
        <f>AE18</f>
        <v>1115393.0975534727</v>
      </c>
      <c r="AC27" s="106">
        <f t="shared" si="14"/>
        <v>1802982.3798513599</v>
      </c>
      <c r="AD27" s="106">
        <f t="shared" si="14"/>
        <v>1341052.7099941801</v>
      </c>
      <c r="AE27" s="106">
        <f t="shared" si="14"/>
        <v>2164986.1766237775</v>
      </c>
      <c r="AF27" s="106">
        <f>SUM(AC27:AE27)</f>
        <v>5309021.2664693175</v>
      </c>
      <c r="AG27" s="88"/>
      <c r="AH27" s="88"/>
    </row>
    <row r="28" spans="2:47" x14ac:dyDescent="0.3">
      <c r="G28" s="19">
        <f>C24+F24+F25+F26</f>
        <v>0</v>
      </c>
      <c r="AG28" s="19"/>
    </row>
    <row r="29" spans="2:47" x14ac:dyDescent="0.3">
      <c r="F29" s="19"/>
      <c r="G29" s="19"/>
      <c r="AF29" s="19"/>
    </row>
  </sheetData>
  <mergeCells count="86">
    <mergeCell ref="V1:AH1"/>
    <mergeCell ref="AQ15:AQ16"/>
    <mergeCell ref="AR15:AR16"/>
    <mergeCell ref="AS15:AS16"/>
    <mergeCell ref="AT15:AT16"/>
    <mergeCell ref="AU15:AU16"/>
    <mergeCell ref="AK15:AK16"/>
    <mergeCell ref="AL15:AL16"/>
    <mergeCell ref="AM15:AM16"/>
    <mergeCell ref="AN15:AN16"/>
    <mergeCell ref="AO15:AO16"/>
    <mergeCell ref="AU4:AU5"/>
    <mergeCell ref="AK12:AU12"/>
    <mergeCell ref="AK13:AO13"/>
    <mergeCell ref="AQ13:AU13"/>
    <mergeCell ref="AK14:AO14"/>
    <mergeCell ref="AQ14:AU14"/>
    <mergeCell ref="I1:S1"/>
    <mergeCell ref="I12:S12"/>
    <mergeCell ref="AK1:AU1"/>
    <mergeCell ref="AK2:AO2"/>
    <mergeCell ref="AQ2:AU2"/>
    <mergeCell ref="AK3:AO3"/>
    <mergeCell ref="AQ3:AU3"/>
    <mergeCell ref="AK4:AK5"/>
    <mergeCell ref="AL4:AL5"/>
    <mergeCell ref="AM4:AM5"/>
    <mergeCell ref="AN4:AN5"/>
    <mergeCell ref="AO4:AO5"/>
    <mergeCell ref="AQ4:AQ5"/>
    <mergeCell ref="AR4:AR5"/>
    <mergeCell ref="AS4:AS5"/>
    <mergeCell ref="AT4:AT5"/>
    <mergeCell ref="B22:B23"/>
    <mergeCell ref="C22:F22"/>
    <mergeCell ref="B2:F2"/>
    <mergeCell ref="B3:F3"/>
    <mergeCell ref="B4:B5"/>
    <mergeCell ref="C4:F4"/>
    <mergeCell ref="B21:F21"/>
    <mergeCell ref="I2:M2"/>
    <mergeCell ref="O2:S2"/>
    <mergeCell ref="V2:AH2"/>
    <mergeCell ref="I3:M3"/>
    <mergeCell ref="O3:S3"/>
    <mergeCell ref="V3:V4"/>
    <mergeCell ref="W3:Y3"/>
    <mergeCell ref="Z3:AB3"/>
    <mergeCell ref="AC3:AE3"/>
    <mergeCell ref="AF3:AH3"/>
    <mergeCell ref="P4:P5"/>
    <mergeCell ref="Q4:Q5"/>
    <mergeCell ref="R4:R5"/>
    <mergeCell ref="S4:S5"/>
    <mergeCell ref="I13:M13"/>
    <mergeCell ref="O13:S13"/>
    <mergeCell ref="I4:I5"/>
    <mergeCell ref="J4:J5"/>
    <mergeCell ref="K4:K5"/>
    <mergeCell ref="L4:L5"/>
    <mergeCell ref="M4:M5"/>
    <mergeCell ref="O4:O5"/>
    <mergeCell ref="Q15:Q16"/>
    <mergeCell ref="V11:AH11"/>
    <mergeCell ref="I14:M14"/>
    <mergeCell ref="O14:S14"/>
    <mergeCell ref="V12:V13"/>
    <mergeCell ref="W12:Y12"/>
    <mergeCell ref="Z12:AB12"/>
    <mergeCell ref="AC12:AE12"/>
    <mergeCell ref="AF12:AH12"/>
    <mergeCell ref="I15:I16"/>
    <mergeCell ref="J15:J16"/>
    <mergeCell ref="K15:K16"/>
    <mergeCell ref="L15:L16"/>
    <mergeCell ref="M15:M16"/>
    <mergeCell ref="O15:O16"/>
    <mergeCell ref="P15:P16"/>
    <mergeCell ref="R15:R16"/>
    <mergeCell ref="S15:S16"/>
    <mergeCell ref="V20:AF20"/>
    <mergeCell ref="V21:V22"/>
    <mergeCell ref="W21:Y21"/>
    <mergeCell ref="Z21:AB21"/>
    <mergeCell ref="AC21:AE21"/>
    <mergeCell ref="AF21:AF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opLeftCell="A7" workbookViewId="0">
      <selection activeCell="F29" sqref="F29:H29"/>
    </sheetView>
  </sheetViews>
  <sheetFormatPr defaultRowHeight="14.4" x14ac:dyDescent="0.3"/>
  <cols>
    <col min="2" max="2" width="24.21875" bestFit="1" customWidth="1"/>
    <col min="3" max="10" width="10.44140625" bestFit="1" customWidth="1"/>
    <col min="11" max="12" width="11.44140625" bestFit="1" customWidth="1"/>
    <col min="13" max="13" width="10.44140625" bestFit="1" customWidth="1"/>
    <col min="14" max="14" width="11.44140625" bestFit="1" customWidth="1"/>
  </cols>
  <sheetData>
    <row r="1" spans="2:18" x14ac:dyDescent="0.3">
      <c r="B1" s="147" t="s">
        <v>236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2:18" x14ac:dyDescent="0.3">
      <c r="B2" s="147" t="s">
        <v>180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2:18" x14ac:dyDescent="0.3">
      <c r="B3" s="148" t="s">
        <v>131</v>
      </c>
      <c r="C3" s="149" t="s">
        <v>217</v>
      </c>
      <c r="D3" s="149"/>
      <c r="E3" s="149"/>
      <c r="F3" s="149" t="s">
        <v>215</v>
      </c>
      <c r="G3" s="149"/>
      <c r="H3" s="149"/>
      <c r="I3" s="149" t="s">
        <v>216</v>
      </c>
      <c r="J3" s="149"/>
      <c r="K3" s="149"/>
      <c r="L3" s="149" t="s">
        <v>126</v>
      </c>
      <c r="M3" s="149"/>
      <c r="N3" s="149"/>
    </row>
    <row r="4" spans="2:18" x14ac:dyDescent="0.3">
      <c r="B4" s="148" t="s">
        <v>131</v>
      </c>
      <c r="C4" s="102" t="s">
        <v>3</v>
      </c>
      <c r="D4" s="102" t="s">
        <v>4</v>
      </c>
      <c r="E4" s="102" t="s">
        <v>5</v>
      </c>
      <c r="F4" s="102" t="s">
        <v>3</v>
      </c>
      <c r="G4" s="102" t="s">
        <v>4</v>
      </c>
      <c r="H4" s="102" t="s">
        <v>5</v>
      </c>
      <c r="I4" s="102" t="s">
        <v>3</v>
      </c>
      <c r="J4" s="102" t="s">
        <v>4</v>
      </c>
      <c r="K4" s="102" t="s">
        <v>5</v>
      </c>
      <c r="L4" s="102" t="s">
        <v>3</v>
      </c>
      <c r="M4" s="102" t="s">
        <v>4</v>
      </c>
      <c r="N4" s="102" t="s">
        <v>5</v>
      </c>
    </row>
    <row r="5" spans="2:18" x14ac:dyDescent="0.3">
      <c r="B5" s="92" t="s">
        <v>183</v>
      </c>
      <c r="C5" s="97">
        <f>'Quadros 8.4.5 a 8.4.8 e 8.4.19 '!AH10</f>
        <v>184499.43761773466</v>
      </c>
      <c r="D5" s="97">
        <f>'Quadros 8.4.5 a 8.4.8 e 8.4.19 '!AI10</f>
        <v>77506.5146819933</v>
      </c>
      <c r="E5" s="97">
        <f>'Quadros 8.4.5 a 8.4.8 e 8.4.19 '!AJ10</f>
        <v>262005.95229972794</v>
      </c>
      <c r="F5" s="97">
        <f>'Quadros 8.4.5 a 8.4.8 e 8.4.19 '!AK10</f>
        <v>274818.41418953607</v>
      </c>
      <c r="G5" s="97">
        <f>'Quadros 8.4.5 a 8.4.8 e 8.4.19 '!AL10</f>
        <v>14011.305466770704</v>
      </c>
      <c r="H5" s="97">
        <f>F5+G5</f>
        <v>288829.71965630678</v>
      </c>
      <c r="I5" s="97">
        <f>'Quadros 8.4.5 a 8.4.8 e 8.4.19 '!AN10</f>
        <v>428668.00025583309</v>
      </c>
      <c r="J5" s="97">
        <f>'Quadros 8.4.5 a 8.4.8 e 8.4.19 '!AO10</f>
        <v>20884.065309903664</v>
      </c>
      <c r="K5" s="97">
        <f>I5+J5</f>
        <v>449552.06556573673</v>
      </c>
      <c r="L5" s="97">
        <f t="shared" ref="L5:L8" si="0">I5+F5+C5</f>
        <v>887985.85206310381</v>
      </c>
      <c r="M5" s="97">
        <f t="shared" ref="M5:M8" si="1">J5+G5+D5</f>
        <v>112401.88545866768</v>
      </c>
      <c r="N5" s="97">
        <f t="shared" ref="N5:N9" si="2">K5+H5+E5</f>
        <v>1000387.7375217715</v>
      </c>
      <c r="O5" s="19">
        <f>N5-'Quadros 8.4.5 a 8.4.8 e 8.4.19 '!AS10</f>
        <v>0</v>
      </c>
    </row>
    <row r="6" spans="2:18" x14ac:dyDescent="0.3">
      <c r="B6" s="92" t="s">
        <v>120</v>
      </c>
      <c r="C6" s="97">
        <f>'Quadros 8.4.9 a 8.4.12 e 8.4.20'!AH9</f>
        <v>489560.2281303911</v>
      </c>
      <c r="D6" s="97">
        <f>'Quadros 8.4.9 a 8.4.12 e 8.4.20'!AI9</f>
        <v>126885.59908287747</v>
      </c>
      <c r="E6" s="97">
        <f>'Quadros 8.4.9 a 8.4.12 e 8.4.20'!AJ9</f>
        <v>616445.82721326849</v>
      </c>
      <c r="F6" s="97">
        <f>'Quadros 8.4.9 a 8.4.12 e 8.4.20'!AK9</f>
        <v>936486.01218060404</v>
      </c>
      <c r="G6" s="97">
        <f>'Quadros 8.4.9 a 8.4.12 e 8.4.20'!AL9</f>
        <v>225201.66086426339</v>
      </c>
      <c r="H6" s="97">
        <f>'Quadros 8.4.9 a 8.4.12 e 8.4.20'!AM9</f>
        <v>1161687.6730448676</v>
      </c>
      <c r="I6" s="97">
        <f>'Quadros 8.4.9 a 8.4.12 e 8.4.20'!AN9</f>
        <v>1195427.0531407776</v>
      </c>
      <c r="J6" s="97">
        <f>'Quadros 8.4.9 a 8.4.12 e 8.4.20'!AO9</f>
        <v>256394.86593886651</v>
      </c>
      <c r="K6" s="97">
        <f>'Quadros 8.4.9 a 8.4.12 e 8.4.20'!AP9</f>
        <v>1451821.9190796441</v>
      </c>
      <c r="L6" s="97">
        <f t="shared" si="0"/>
        <v>2621473.293451773</v>
      </c>
      <c r="M6" s="97">
        <f t="shared" si="1"/>
        <v>608482.12588600744</v>
      </c>
      <c r="N6" s="97">
        <f t="shared" si="2"/>
        <v>3229955.4193377802</v>
      </c>
      <c r="O6" s="19">
        <f>N6-'Quadros 8.4.9 a 8.4.12 e 8.4.20'!AS9</f>
        <v>0</v>
      </c>
    </row>
    <row r="7" spans="2:18" x14ac:dyDescent="0.3">
      <c r="B7" s="92" t="s">
        <v>184</v>
      </c>
      <c r="C7" s="97">
        <f>'Quadros 8.4.13 a 8.4.16e 8.4.21'!W9</f>
        <v>1046473.1766818012</v>
      </c>
      <c r="D7" s="97">
        <f>'Quadros 8.4.13 a 8.4.16e 8.4.21'!X9</f>
        <v>183094.8320785276</v>
      </c>
      <c r="E7" s="97">
        <f>'Quadros 8.4.13 a 8.4.16e 8.4.21'!Y9</f>
        <v>1229568.0087603289</v>
      </c>
      <c r="F7" s="97">
        <f>'Quadros 8.4.13 a 8.4.16e 8.4.21'!Z9</f>
        <v>44657.992305799613</v>
      </c>
      <c r="G7" s="97">
        <f>'Quadros 8.4.13 a 8.4.16e 8.4.21'!AA9</f>
        <v>6505.2489667149703</v>
      </c>
      <c r="H7" s="97">
        <f>'Quadros 8.4.13 a 8.4.16e 8.4.21'!AB9</f>
        <v>51163.241272514584</v>
      </c>
      <c r="I7" s="97">
        <f>'Quadros 8.4.13 a 8.4.16e 8.4.21'!AC9</f>
        <v>69658.550041572875</v>
      </c>
      <c r="J7" s="97">
        <f>'Quadros 8.4.13 a 8.4.16e 8.4.21'!AD9</f>
        <v>9696.1731795981286</v>
      </c>
      <c r="K7" s="97">
        <f>'Quadros 8.4.13 a 8.4.16e 8.4.21'!AE9</f>
        <v>79354.723221171007</v>
      </c>
      <c r="L7" s="97">
        <f t="shared" si="0"/>
        <v>1160789.7190291737</v>
      </c>
      <c r="M7" s="97">
        <f t="shared" si="1"/>
        <v>199296.2542248407</v>
      </c>
      <c r="N7" s="97">
        <f t="shared" si="2"/>
        <v>1360085.9732540145</v>
      </c>
    </row>
    <row r="8" spans="2:18" x14ac:dyDescent="0.3">
      <c r="B8" s="92" t="s">
        <v>123</v>
      </c>
      <c r="C8" s="97">
        <f>'Quadros 8.4.17 8.4.18e 8.4.22 '!W9</f>
        <v>1245285.8310746234</v>
      </c>
      <c r="D8" s="97">
        <f>'Quadros 8.4.17 8.4.18e 8.4.22 '!X9</f>
        <v>0</v>
      </c>
      <c r="E8" s="97">
        <f>'Quadros 8.4.17 8.4.18e 8.4.22 '!Y9</f>
        <v>1245285.8310746234</v>
      </c>
      <c r="F8" s="97">
        <f>'Quadros 8.4.17 8.4.18e 8.4.22 '!Z9</f>
        <v>783356.16121744365</v>
      </c>
      <c r="G8" s="97">
        <f>'Quadros 8.4.17 8.4.18e 8.4.22 '!AA9</f>
        <v>0</v>
      </c>
      <c r="H8" s="97">
        <f>'Quadros 8.4.17 8.4.18e 8.4.22 '!AB9</f>
        <v>783356.16121744365</v>
      </c>
      <c r="I8" s="97">
        <f>'Quadros 8.4.17 8.4.18e 8.4.22 '!AC9</f>
        <v>1049593.079070305</v>
      </c>
      <c r="J8" s="97">
        <f>'Quadros 8.4.17 8.4.18e 8.4.22 '!AD9</f>
        <v>0</v>
      </c>
      <c r="K8" s="97">
        <f>'Quadros 8.4.17 8.4.18e 8.4.22 '!AE9</f>
        <v>1049593.079070305</v>
      </c>
      <c r="L8" s="97">
        <f t="shared" si="0"/>
        <v>3078235.071362372</v>
      </c>
      <c r="M8" s="97">
        <f t="shared" si="1"/>
        <v>0</v>
      </c>
      <c r="N8" s="97">
        <f t="shared" si="2"/>
        <v>3078235.071362372</v>
      </c>
    </row>
    <row r="9" spans="2:18" x14ac:dyDescent="0.3">
      <c r="B9" s="92" t="s">
        <v>185</v>
      </c>
      <c r="C9" s="97">
        <f>L20*0.5*0.3</f>
        <v>943501.15956355492</v>
      </c>
      <c r="D9" s="97">
        <f>M20*0.5*0.3</f>
        <v>94722.419088977869</v>
      </c>
      <c r="E9" s="97">
        <f>C9+D9</f>
        <v>1038223.5786525328</v>
      </c>
      <c r="F9" s="97">
        <f>L20*0.3*0.3</f>
        <v>566100.69573813293</v>
      </c>
      <c r="G9" s="97">
        <f>M20*0.3*0.3</f>
        <v>56833.451453386719</v>
      </c>
      <c r="H9" s="97">
        <f>F9+G9</f>
        <v>622934.14719151962</v>
      </c>
      <c r="I9" s="97">
        <f>L20*0.2*0.3</f>
        <v>377400.46382542205</v>
      </c>
      <c r="J9" s="97">
        <f>M20*0.2*0.3</f>
        <v>37888.967635591151</v>
      </c>
      <c r="K9" s="97">
        <f>I9+J9</f>
        <v>415289.43146101321</v>
      </c>
      <c r="L9" s="97">
        <f t="shared" ref="L9" si="3">I9+F9+C9</f>
        <v>1887002.3191271098</v>
      </c>
      <c r="M9" s="97">
        <f t="shared" ref="M9" si="4">J9+G9+D9</f>
        <v>189444.83817795574</v>
      </c>
      <c r="N9" s="97">
        <f t="shared" si="2"/>
        <v>2076447.1573050655</v>
      </c>
      <c r="P9" s="19"/>
      <c r="Q9" s="19"/>
      <c r="R9" s="19"/>
    </row>
    <row r="10" spans="2:18" x14ac:dyDescent="0.3">
      <c r="B10" s="92" t="s">
        <v>126</v>
      </c>
      <c r="C10" s="106">
        <f>SUM(C5:C9)</f>
        <v>3909319.8330681054</v>
      </c>
      <c r="D10" s="106">
        <f t="shared" ref="D10:N10" si="5">SUM(D5:D9)</f>
        <v>482209.36493237619</v>
      </c>
      <c r="E10" s="106">
        <f t="shared" si="5"/>
        <v>4391529.1980004814</v>
      </c>
      <c r="F10" s="106">
        <f t="shared" si="5"/>
        <v>2605419.2756315162</v>
      </c>
      <c r="G10" s="106">
        <f t="shared" si="5"/>
        <v>302551.66675113578</v>
      </c>
      <c r="H10" s="106">
        <f t="shared" si="5"/>
        <v>2907970.9423826523</v>
      </c>
      <c r="I10" s="106">
        <f t="shared" si="5"/>
        <v>3120747.1463339105</v>
      </c>
      <c r="J10" s="106">
        <f t="shared" si="5"/>
        <v>324864.07206395944</v>
      </c>
      <c r="K10" s="106">
        <f t="shared" si="5"/>
        <v>3445611.2183978702</v>
      </c>
      <c r="L10" s="106">
        <f t="shared" si="5"/>
        <v>9635486.255033534</v>
      </c>
      <c r="M10" s="106">
        <f t="shared" si="5"/>
        <v>1109625.1037474715</v>
      </c>
      <c r="N10" s="106">
        <f t="shared" si="5"/>
        <v>10745111.358781004</v>
      </c>
    </row>
    <row r="11" spans="2:18" x14ac:dyDescent="0.3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2:18" x14ac:dyDescent="0.3">
      <c r="B12" s="147" t="s">
        <v>181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2:18" x14ac:dyDescent="0.3">
      <c r="B13" s="148" t="s">
        <v>131</v>
      </c>
      <c r="C13" s="149" t="s">
        <v>214</v>
      </c>
      <c r="D13" s="149"/>
      <c r="E13" s="149"/>
      <c r="F13" s="149" t="s">
        <v>215</v>
      </c>
      <c r="G13" s="149"/>
      <c r="H13" s="149"/>
      <c r="I13" s="149" t="s">
        <v>216</v>
      </c>
      <c r="J13" s="149"/>
      <c r="K13" s="149"/>
      <c r="L13" s="149" t="s">
        <v>126</v>
      </c>
      <c r="M13" s="149"/>
      <c r="N13" s="149"/>
    </row>
    <row r="14" spans="2:18" x14ac:dyDescent="0.3">
      <c r="B14" s="148" t="s">
        <v>131</v>
      </c>
      <c r="C14" s="102" t="s">
        <v>3</v>
      </c>
      <c r="D14" s="102" t="s">
        <v>4</v>
      </c>
      <c r="E14" s="102" t="s">
        <v>5</v>
      </c>
      <c r="F14" s="102" t="s">
        <v>3</v>
      </c>
      <c r="G14" s="102" t="s">
        <v>4</v>
      </c>
      <c r="H14" s="102" t="s">
        <v>5</v>
      </c>
      <c r="I14" s="102" t="s">
        <v>3</v>
      </c>
      <c r="J14" s="102" t="s">
        <v>4</v>
      </c>
      <c r="K14" s="102" t="s">
        <v>5</v>
      </c>
      <c r="L14" s="102" t="s">
        <v>3</v>
      </c>
      <c r="M14" s="102" t="s">
        <v>4</v>
      </c>
      <c r="N14" s="102" t="s">
        <v>5</v>
      </c>
    </row>
    <row r="15" spans="2:18" x14ac:dyDescent="0.3">
      <c r="B15" s="92" t="s">
        <v>183</v>
      </c>
      <c r="C15" s="97">
        <f>'Quadros 8.4.5 a 8.4.8 e 8.4.19 '!AH20</f>
        <v>399135.76530099753</v>
      </c>
      <c r="D15" s="97">
        <f>'Quadros 8.4.5 a 8.4.8 e 8.4.19 '!AI20</f>
        <v>30627.705399616105</v>
      </c>
      <c r="E15" s="97">
        <f>'Quadros 8.4.5 a 8.4.8 e 8.4.19 '!AJ20</f>
        <v>429763.47070061369</v>
      </c>
      <c r="F15" s="97">
        <f>'Quadros 8.4.5 a 8.4.8 e 8.4.19 '!AK20</f>
        <v>399135.76530099753</v>
      </c>
      <c r="G15" s="97">
        <f>'Quadros 8.4.5 a 8.4.8 e 8.4.19 '!AL20</f>
        <v>30627.705399616105</v>
      </c>
      <c r="H15" s="97">
        <f>'Quadros 8.4.5 a 8.4.8 e 8.4.19 '!AM20</f>
        <v>429763.47070061369</v>
      </c>
      <c r="I15" s="97">
        <f>'Quadros 8.4.5 a 8.4.8 e 8.4.19 '!AN20</f>
        <v>798271.53060199507</v>
      </c>
      <c r="J15" s="97">
        <f>'Quadros 8.4.5 a 8.4.8 e 8.4.19 '!AO20</f>
        <v>61255.41079923221</v>
      </c>
      <c r="K15" s="97">
        <f>'Quadros 8.4.5 a 8.4.8 e 8.4.19 '!AP20</f>
        <v>859526.94140122738</v>
      </c>
      <c r="L15" s="97">
        <f t="shared" ref="L15:L16" si="6">I15+F15+C15</f>
        <v>1596543.0612039901</v>
      </c>
      <c r="M15" s="97">
        <f t="shared" ref="M15:M16" si="7">J15+G15+D15</f>
        <v>122510.82159846442</v>
      </c>
      <c r="N15" s="97">
        <f t="shared" ref="N15:N16" si="8">K15+H15+E15</f>
        <v>1719053.8828024548</v>
      </c>
      <c r="O15" s="19">
        <f>N15-'Quadros 8.4.5 a 8.4.8 e 8.4.19 '!AS20</f>
        <v>0</v>
      </c>
    </row>
    <row r="16" spans="2:18" x14ac:dyDescent="0.3">
      <c r="B16" s="92" t="s">
        <v>120</v>
      </c>
      <c r="C16" s="97">
        <f>'Quadros 8.4.9 a 8.4.12 e 8.4.20'!AH18</f>
        <v>465840.64662527386</v>
      </c>
      <c r="D16" s="97">
        <f>'Quadros 8.4.9 a 8.4.12 e 8.4.20'!AI18</f>
        <v>107313.36765952961</v>
      </c>
      <c r="E16" s="97">
        <f>'Quadros 8.4.9 a 8.4.12 e 8.4.20'!AJ18</f>
        <v>573154.01428480353</v>
      </c>
      <c r="F16" s="97">
        <f>'Quadros 8.4.9 a 8.4.12 e 8.4.20'!AK18</f>
        <v>465840.64662527386</v>
      </c>
      <c r="G16" s="97">
        <f>'Quadros 8.4.9 a 8.4.12 e 8.4.20'!AL18</f>
        <v>107313.36765952961</v>
      </c>
      <c r="H16" s="97">
        <f>'Quadros 8.4.9 a 8.4.12 e 8.4.20'!AM18</f>
        <v>573154.01428480353</v>
      </c>
      <c r="I16" s="97">
        <f>'Quadros 8.4.9 a 8.4.12 e 8.4.20'!AN18</f>
        <v>931681.29325054772</v>
      </c>
      <c r="J16" s="97">
        <f>'Quadros 8.4.9 a 8.4.12 e 8.4.20'!AO18</f>
        <v>214626.73531905923</v>
      </c>
      <c r="K16" s="97">
        <f>'Quadros 8.4.9 a 8.4.12 e 8.4.20'!AP18</f>
        <v>1146308.0285696071</v>
      </c>
      <c r="L16" s="97">
        <f t="shared" si="6"/>
        <v>1863362.5865010954</v>
      </c>
      <c r="M16" s="97">
        <f t="shared" si="7"/>
        <v>429253.47063811845</v>
      </c>
      <c r="N16" s="97">
        <f t="shared" si="8"/>
        <v>2292616.0571392141</v>
      </c>
      <c r="O16" s="19">
        <f>N16-'Quadros 8.4.9 a 8.4.12 e 8.4.20'!AS18</f>
        <v>0</v>
      </c>
    </row>
    <row r="17" spans="2:16" x14ac:dyDescent="0.3">
      <c r="B17" s="92" t="s">
        <v>184</v>
      </c>
      <c r="C17" s="97">
        <f>'Quadros 8.4.13 a 8.4.16e 8.4.21'!W18</f>
        <v>71078.971902917372</v>
      </c>
      <c r="D17" s="97">
        <f>'Quadros 8.4.13 a 8.4.16e 8.4.21'!X18</f>
        <v>19929.62542248407</v>
      </c>
      <c r="E17" s="97">
        <f>'Quadros 8.4.13 a 8.4.16e 8.4.21'!Y18</f>
        <v>91008.597325401439</v>
      </c>
      <c r="F17" s="97">
        <f>'Quadros 8.4.13 a 8.4.16e 8.4.21'!Z18</f>
        <v>71078.971902917372</v>
      </c>
      <c r="G17" s="97">
        <f>'Quadros 8.4.13 a 8.4.16e 8.4.21'!AA18</f>
        <v>19929.62542248407</v>
      </c>
      <c r="H17" s="97">
        <f>'Quadros 8.4.13 a 8.4.16e 8.4.21'!AB18</f>
        <v>91008.597325401439</v>
      </c>
      <c r="I17" s="97">
        <f>'Quadros 8.4.13 a 8.4.16e 8.4.21'!AC18</f>
        <v>457157.94380583474</v>
      </c>
      <c r="J17" s="97">
        <f>'Quadros 8.4.13 a 8.4.16e 8.4.21'!AD18</f>
        <v>39859.250844968141</v>
      </c>
      <c r="K17" s="97">
        <f>'Quadros 8.4.13 a 8.4.16e 8.4.21'!AE18</f>
        <v>497017.19465080288</v>
      </c>
      <c r="L17" s="97">
        <f t="shared" ref="L17:N17" si="9">I17+F17+C17</f>
        <v>599315.88761166949</v>
      </c>
      <c r="M17" s="97">
        <f t="shared" si="9"/>
        <v>79718.501689936282</v>
      </c>
      <c r="N17" s="97">
        <f t="shared" si="9"/>
        <v>679034.38930160576</v>
      </c>
      <c r="O17" s="19">
        <f>N17-'Quadros 8.4.13 a 8.4.16e 8.4.21'!AH18</f>
        <v>0</v>
      </c>
    </row>
    <row r="18" spans="2:16" x14ac:dyDescent="0.3">
      <c r="B18" s="92" t="s">
        <v>123</v>
      </c>
      <c r="C18" s="97">
        <f>'Quadros 8.4.17 8.4.18e 8.4.22 '!W18</f>
        <v>557696.54877673637</v>
      </c>
      <c r="D18" s="97">
        <f>'Quadros 8.4.17 8.4.18e 8.4.22 '!X18</f>
        <v>0</v>
      </c>
      <c r="E18" s="97">
        <f>'Quadros 8.4.17 8.4.18e 8.4.22 '!Y18</f>
        <v>557696.54877673637</v>
      </c>
      <c r="F18" s="97">
        <f>'Quadros 8.4.17 8.4.18e 8.4.22 '!Z18</f>
        <v>557696.54877673637</v>
      </c>
      <c r="G18" s="97">
        <f>'Quadros 8.4.17 8.4.18e 8.4.22 '!AA18</f>
        <v>0</v>
      </c>
      <c r="H18" s="97">
        <f>'Quadros 8.4.17 8.4.18e 8.4.22 '!AB18</f>
        <v>557696.54877673637</v>
      </c>
      <c r="I18" s="97">
        <f>'Quadros 8.4.17 8.4.18e 8.4.22 '!AC18</f>
        <v>1115393.0975534727</v>
      </c>
      <c r="J18" s="97">
        <f>'Quadros 8.4.17 8.4.18e 8.4.22 '!AD18</f>
        <v>0</v>
      </c>
      <c r="K18" s="97">
        <f>'Quadros 8.4.17 8.4.18e 8.4.22 '!AE18</f>
        <v>1115393.0975534727</v>
      </c>
      <c r="L18" s="97">
        <f t="shared" ref="L18" si="10">I18+F18+C18</f>
        <v>2230786.1951069455</v>
      </c>
      <c r="M18" s="97">
        <f t="shared" ref="M18" si="11">J18+G18+D18</f>
        <v>0</v>
      </c>
      <c r="N18" s="97">
        <f t="shared" ref="N18" si="12">K18+H18+E18</f>
        <v>2230786.1951069455</v>
      </c>
    </row>
    <row r="19" spans="2:16" x14ac:dyDescent="0.3">
      <c r="B19" s="92" t="s">
        <v>185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2:16" x14ac:dyDescent="0.3">
      <c r="B20" s="92" t="s">
        <v>126</v>
      </c>
      <c r="C20" s="106">
        <f>SUM(C15:C19)</f>
        <v>1493751.932605925</v>
      </c>
      <c r="D20" s="106">
        <f>SUM(D15:D19)</f>
        <v>157870.69848162978</v>
      </c>
      <c r="E20" s="106">
        <f>SUM(E15:E19)</f>
        <v>1651622.6310875551</v>
      </c>
      <c r="F20" s="106">
        <f t="shared" ref="F20:N20" si="13">SUM(F15:F19)</f>
        <v>1493751.932605925</v>
      </c>
      <c r="G20" s="106">
        <f t="shared" si="13"/>
        <v>157870.69848162978</v>
      </c>
      <c r="H20" s="106">
        <f t="shared" si="13"/>
        <v>1651622.6310875551</v>
      </c>
      <c r="I20" s="106">
        <f t="shared" si="13"/>
        <v>3302503.86521185</v>
      </c>
      <c r="J20" s="106">
        <f t="shared" si="13"/>
        <v>315741.39696325955</v>
      </c>
      <c r="K20" s="106">
        <f t="shared" si="13"/>
        <v>3618245.2621751102</v>
      </c>
      <c r="L20" s="106">
        <f t="shared" si="13"/>
        <v>6290007.7304237001</v>
      </c>
      <c r="M20" s="106">
        <f t="shared" si="13"/>
        <v>631482.79392651911</v>
      </c>
      <c r="N20" s="106">
        <f t="shared" si="13"/>
        <v>6921490.5243502203</v>
      </c>
    </row>
    <row r="21" spans="2:16" x14ac:dyDescent="0.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2:16" x14ac:dyDescent="0.3">
      <c r="B22" s="147" t="s">
        <v>182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88"/>
      <c r="N22" s="88"/>
    </row>
    <row r="23" spans="2:16" x14ac:dyDescent="0.3">
      <c r="B23" s="148" t="s">
        <v>131</v>
      </c>
      <c r="C23" s="149" t="s">
        <v>234</v>
      </c>
      <c r="D23" s="149"/>
      <c r="E23" s="149"/>
      <c r="F23" s="149" t="s">
        <v>133</v>
      </c>
      <c r="G23" s="149"/>
      <c r="H23" s="149"/>
      <c r="I23" s="149" t="s">
        <v>5</v>
      </c>
      <c r="J23" s="149"/>
      <c r="K23" s="149"/>
      <c r="L23" s="148" t="s">
        <v>140</v>
      </c>
      <c r="M23" s="88"/>
      <c r="N23" s="88"/>
    </row>
    <row r="24" spans="2:16" x14ac:dyDescent="0.3">
      <c r="B24" s="148" t="s">
        <v>131</v>
      </c>
      <c r="C24" s="102" t="s">
        <v>217</v>
      </c>
      <c r="D24" s="102" t="s">
        <v>215</v>
      </c>
      <c r="E24" s="102" t="s">
        <v>216</v>
      </c>
      <c r="F24" s="102" t="s">
        <v>217</v>
      </c>
      <c r="G24" s="102" t="s">
        <v>215</v>
      </c>
      <c r="H24" s="102" t="s">
        <v>216</v>
      </c>
      <c r="I24" s="102" t="s">
        <v>217</v>
      </c>
      <c r="J24" s="102" t="s">
        <v>215</v>
      </c>
      <c r="K24" s="102" t="s">
        <v>216</v>
      </c>
      <c r="L24" s="148"/>
      <c r="M24" s="88"/>
      <c r="N24" s="88"/>
    </row>
    <row r="25" spans="2:16" x14ac:dyDescent="0.3">
      <c r="B25" s="92" t="s">
        <v>183</v>
      </c>
      <c r="C25" s="106">
        <f t="shared" ref="C25:C30" si="14">E5</f>
        <v>262005.95229972794</v>
      </c>
      <c r="D25" s="106">
        <f t="shared" ref="D25:D30" si="15">H5</f>
        <v>288829.71965630678</v>
      </c>
      <c r="E25" s="106">
        <f t="shared" ref="E25:E30" si="16">K5</f>
        <v>449552.06556573673</v>
      </c>
      <c r="F25" s="106">
        <f t="shared" ref="F25:F30" si="17">E15</f>
        <v>429763.47070061369</v>
      </c>
      <c r="G25" s="106">
        <f t="shared" ref="G25:G30" si="18">H15</f>
        <v>429763.47070061369</v>
      </c>
      <c r="H25" s="106">
        <f t="shared" ref="H25:H30" si="19">K15</f>
        <v>859526.94140122738</v>
      </c>
      <c r="I25" s="106">
        <f>C25+F25</f>
        <v>691769.42300034163</v>
      </c>
      <c r="J25" s="106">
        <f>D25+G25</f>
        <v>718593.19035692047</v>
      </c>
      <c r="K25" s="106">
        <f>E25+H25</f>
        <v>1309079.0069669641</v>
      </c>
      <c r="L25" s="106">
        <f t="shared" ref="L25:L29" si="20">SUM(I25:K25)</f>
        <v>2719441.6203242261</v>
      </c>
      <c r="M25" s="88"/>
      <c r="N25" s="88"/>
    </row>
    <row r="26" spans="2:16" x14ac:dyDescent="0.3">
      <c r="B26" s="92" t="s">
        <v>120</v>
      </c>
      <c r="C26" s="106">
        <f t="shared" si="14"/>
        <v>616445.82721326849</v>
      </c>
      <c r="D26" s="106">
        <f t="shared" si="15"/>
        <v>1161687.6730448676</v>
      </c>
      <c r="E26" s="106">
        <f t="shared" si="16"/>
        <v>1451821.9190796441</v>
      </c>
      <c r="F26" s="106">
        <f t="shared" si="17"/>
        <v>573154.01428480353</v>
      </c>
      <c r="G26" s="106">
        <f t="shared" si="18"/>
        <v>573154.01428480353</v>
      </c>
      <c r="H26" s="106">
        <f t="shared" si="19"/>
        <v>1146308.0285696071</v>
      </c>
      <c r="I26" s="106">
        <f t="shared" ref="I26:K30" si="21">C26+F26</f>
        <v>1189599.841498072</v>
      </c>
      <c r="J26" s="106">
        <f t="shared" si="21"/>
        <v>1734841.6873296711</v>
      </c>
      <c r="K26" s="106">
        <f t="shared" si="21"/>
        <v>2598129.9476492512</v>
      </c>
      <c r="L26" s="106">
        <f t="shared" si="20"/>
        <v>5522571.4764769943</v>
      </c>
      <c r="M26" s="88"/>
      <c r="N26" s="88"/>
    </row>
    <row r="27" spans="2:16" x14ac:dyDescent="0.3">
      <c r="B27" s="92" t="s">
        <v>184</v>
      </c>
      <c r="C27" s="106">
        <f t="shared" si="14"/>
        <v>1229568.0087603289</v>
      </c>
      <c r="D27" s="106">
        <f t="shared" si="15"/>
        <v>51163.241272514584</v>
      </c>
      <c r="E27" s="106">
        <f t="shared" si="16"/>
        <v>79354.723221171007</v>
      </c>
      <c r="F27" s="106">
        <f t="shared" si="17"/>
        <v>91008.597325401439</v>
      </c>
      <c r="G27" s="106">
        <f t="shared" si="18"/>
        <v>91008.597325401439</v>
      </c>
      <c r="H27" s="106">
        <f t="shared" si="19"/>
        <v>497017.19465080288</v>
      </c>
      <c r="I27" s="106">
        <f t="shared" si="21"/>
        <v>1320576.6060857303</v>
      </c>
      <c r="J27" s="106">
        <f t="shared" si="21"/>
        <v>142171.83859791601</v>
      </c>
      <c r="K27" s="106">
        <f t="shared" si="21"/>
        <v>576371.91787197394</v>
      </c>
      <c r="L27" s="106">
        <f t="shared" si="20"/>
        <v>2039120.3625556203</v>
      </c>
      <c r="M27" s="88"/>
      <c r="N27" s="88"/>
    </row>
    <row r="28" spans="2:16" x14ac:dyDescent="0.3">
      <c r="B28" s="92" t="s">
        <v>123</v>
      </c>
      <c r="C28" s="106">
        <f t="shared" si="14"/>
        <v>1245285.8310746234</v>
      </c>
      <c r="D28" s="106">
        <f t="shared" si="15"/>
        <v>783356.16121744365</v>
      </c>
      <c r="E28" s="106">
        <f t="shared" si="16"/>
        <v>1049593.079070305</v>
      </c>
      <c r="F28" s="106">
        <f t="shared" si="17"/>
        <v>557696.54877673637</v>
      </c>
      <c r="G28" s="106">
        <f t="shared" si="18"/>
        <v>557696.54877673637</v>
      </c>
      <c r="H28" s="106">
        <f t="shared" si="19"/>
        <v>1115393.0975534727</v>
      </c>
      <c r="I28" s="106">
        <f t="shared" si="21"/>
        <v>1802982.3798513599</v>
      </c>
      <c r="J28" s="106">
        <f t="shared" si="21"/>
        <v>1341052.7099941801</v>
      </c>
      <c r="K28" s="106">
        <f t="shared" si="21"/>
        <v>2164986.1766237775</v>
      </c>
      <c r="L28" s="106">
        <f t="shared" si="20"/>
        <v>5309021.2664693175</v>
      </c>
      <c r="M28" s="88"/>
      <c r="N28" s="88"/>
    </row>
    <row r="29" spans="2:16" x14ac:dyDescent="0.3">
      <c r="B29" s="92" t="s">
        <v>185</v>
      </c>
      <c r="C29" s="106">
        <f t="shared" si="14"/>
        <v>1038223.5786525328</v>
      </c>
      <c r="D29" s="106">
        <f t="shared" si="15"/>
        <v>622934.14719151962</v>
      </c>
      <c r="E29" s="106">
        <f t="shared" si="16"/>
        <v>415289.43146101321</v>
      </c>
      <c r="F29" s="106">
        <f t="shared" si="17"/>
        <v>0</v>
      </c>
      <c r="G29" s="106">
        <f t="shared" si="18"/>
        <v>0</v>
      </c>
      <c r="H29" s="106">
        <f t="shared" si="19"/>
        <v>0</v>
      </c>
      <c r="I29" s="106">
        <f t="shared" ref="I29" si="22">C29+F29</f>
        <v>1038223.5786525328</v>
      </c>
      <c r="J29" s="106">
        <f t="shared" ref="J29" si="23">D29+G29</f>
        <v>622934.14719151962</v>
      </c>
      <c r="K29" s="106">
        <f t="shared" ref="K29" si="24">E29+H29</f>
        <v>415289.43146101321</v>
      </c>
      <c r="L29" s="106">
        <f t="shared" si="20"/>
        <v>2076447.1573050655</v>
      </c>
      <c r="M29" s="88"/>
      <c r="N29" s="88"/>
    </row>
    <row r="30" spans="2:16" x14ac:dyDescent="0.3">
      <c r="B30" s="92" t="s">
        <v>126</v>
      </c>
      <c r="C30" s="106">
        <f t="shared" si="14"/>
        <v>4391529.1980004814</v>
      </c>
      <c r="D30" s="106">
        <f t="shared" si="15"/>
        <v>2907970.9423826523</v>
      </c>
      <c r="E30" s="106">
        <f t="shared" si="16"/>
        <v>3445611.2183978702</v>
      </c>
      <c r="F30" s="106">
        <f t="shared" si="17"/>
        <v>1651622.6310875551</v>
      </c>
      <c r="G30" s="106">
        <f t="shared" si="18"/>
        <v>1651622.6310875551</v>
      </c>
      <c r="H30" s="106">
        <f t="shared" si="19"/>
        <v>3618245.2621751102</v>
      </c>
      <c r="I30" s="106">
        <f t="shared" si="21"/>
        <v>6043151.829088036</v>
      </c>
      <c r="J30" s="106">
        <f t="shared" si="21"/>
        <v>4559593.5734702069</v>
      </c>
      <c r="K30" s="106">
        <f t="shared" si="21"/>
        <v>7063856.4805729799</v>
      </c>
      <c r="L30" s="106">
        <f>SUM(I30:K30)</f>
        <v>17666601.883131221</v>
      </c>
      <c r="M30" s="88"/>
      <c r="N30" s="109"/>
      <c r="O30" s="19"/>
      <c r="P30" s="19"/>
    </row>
    <row r="31" spans="2:16" x14ac:dyDescent="0.3">
      <c r="M31" s="19"/>
    </row>
    <row r="32" spans="2:16" x14ac:dyDescent="0.3">
      <c r="C32" s="24"/>
      <c r="L32" s="19"/>
    </row>
    <row r="33" spans="3:12" x14ac:dyDescent="0.3"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3:12" x14ac:dyDescent="0.3"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3:12" x14ac:dyDescent="0.3"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3:12" x14ac:dyDescent="0.3"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3:12" x14ac:dyDescent="0.3"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3:12" x14ac:dyDescent="0.3">
      <c r="C38" s="19"/>
      <c r="D38" s="19"/>
      <c r="E38" s="19"/>
      <c r="F38" s="19"/>
      <c r="G38" s="19"/>
      <c r="H38" s="19"/>
      <c r="I38" s="19"/>
      <c r="J38" s="19"/>
      <c r="K38" s="19"/>
      <c r="L38" s="19"/>
    </row>
  </sheetData>
  <mergeCells count="19">
    <mergeCell ref="B1:N1"/>
    <mergeCell ref="B2:N2"/>
    <mergeCell ref="B3:B4"/>
    <mergeCell ref="C3:E3"/>
    <mergeCell ref="F3:H3"/>
    <mergeCell ref="I3:K3"/>
    <mergeCell ref="L3:N3"/>
    <mergeCell ref="B12:N12"/>
    <mergeCell ref="B13:B14"/>
    <mergeCell ref="C13:E13"/>
    <mergeCell ref="F13:H13"/>
    <mergeCell ref="I13:K13"/>
    <mergeCell ref="L13:N13"/>
    <mergeCell ref="B22:L22"/>
    <mergeCell ref="B23:B24"/>
    <mergeCell ref="C23:E23"/>
    <mergeCell ref="F23:H23"/>
    <mergeCell ref="I23:K23"/>
    <mergeCell ref="L23:L2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workbookViewId="0">
      <selection activeCell="G4" sqref="G4"/>
    </sheetView>
  </sheetViews>
  <sheetFormatPr defaultRowHeight="14.4" x14ac:dyDescent="0.3"/>
  <cols>
    <col min="3" max="3" width="35.44140625" customWidth="1"/>
    <col min="4" max="4" width="44.44140625" customWidth="1"/>
    <col min="8" max="8" width="12.6640625" bestFit="1" customWidth="1"/>
    <col min="10" max="10" width="9.33203125" bestFit="1" customWidth="1"/>
  </cols>
  <sheetData>
    <row r="2" spans="2:10" ht="18.600000000000001" thickBot="1" x14ac:dyDescent="0.35">
      <c r="B2" s="121" t="s">
        <v>237</v>
      </c>
      <c r="C2" s="121"/>
      <c r="D2" s="121"/>
      <c r="E2" s="121"/>
      <c r="F2" s="121"/>
      <c r="G2" s="121"/>
      <c r="H2" s="121"/>
    </row>
    <row r="3" spans="2:10" ht="31.8" thickBot="1" x14ac:dyDescent="0.35">
      <c r="B3" s="1" t="s">
        <v>0</v>
      </c>
      <c r="C3" s="125" t="s">
        <v>22</v>
      </c>
      <c r="D3" s="126"/>
      <c r="E3" s="2" t="s">
        <v>2</v>
      </c>
      <c r="F3" s="2" t="s">
        <v>3</v>
      </c>
      <c r="G3" s="2" t="s">
        <v>4</v>
      </c>
      <c r="H3" s="2" t="s">
        <v>23</v>
      </c>
    </row>
    <row r="4" spans="2:10" ht="31.8" thickBot="1" x14ac:dyDescent="0.35">
      <c r="B4" s="127">
        <v>1</v>
      </c>
      <c r="C4" s="129" t="s">
        <v>24</v>
      </c>
      <c r="D4" s="87" t="s">
        <v>25</v>
      </c>
      <c r="E4" s="37">
        <v>2016</v>
      </c>
      <c r="F4" s="37">
        <v>100</v>
      </c>
      <c r="G4" s="37">
        <v>0</v>
      </c>
      <c r="H4" s="35">
        <f>(F4*'7.1.1 - Caracterização'!E6+'7.1.1 - Caracterização'!F6*'7.5.1 Água'!G4)/'7.1.1 - Caracterização'!G6</f>
        <v>75.242315148158411</v>
      </c>
      <c r="J4" s="15">
        <f>(F4*F14+G4*G14)/H14</f>
        <v>75.242315148158411</v>
      </c>
    </row>
    <row r="5" spans="2:10" ht="31.8" thickBot="1" x14ac:dyDescent="0.35">
      <c r="B5" s="128"/>
      <c r="C5" s="130"/>
      <c r="D5" s="87" t="s">
        <v>26</v>
      </c>
      <c r="E5" s="37">
        <v>2010</v>
      </c>
      <c r="F5" s="37">
        <v>0</v>
      </c>
      <c r="G5" s="37">
        <v>76.5</v>
      </c>
      <c r="H5" s="35">
        <f>(F5*'7.1.1 - Caracterização'!E6+'7.1.1 - Caracterização'!F6*'7.5.1 Água'!G5)/'7.1.1 - Caracterização'!G6</f>
        <v>18.939628911658819</v>
      </c>
      <c r="J5">
        <f>(F5*F14+G5*G14)/H14</f>
        <v>18.939628911658819</v>
      </c>
    </row>
    <row r="6" spans="2:10" ht="31.8" thickBot="1" x14ac:dyDescent="0.35">
      <c r="B6" s="80">
        <v>2</v>
      </c>
      <c r="C6" s="87" t="s">
        <v>27</v>
      </c>
      <c r="D6" s="5"/>
      <c r="E6" s="37">
        <v>2016</v>
      </c>
      <c r="F6" s="4"/>
      <c r="G6" s="4"/>
      <c r="H6" s="37">
        <v>0</v>
      </c>
      <c r="J6" s="15">
        <f>H4+H5</f>
        <v>94.181944059817226</v>
      </c>
    </row>
    <row r="7" spans="2:10" ht="16.2" thickBot="1" x14ac:dyDescent="0.35">
      <c r="B7" s="127">
        <v>3</v>
      </c>
      <c r="C7" s="129" t="s">
        <v>28</v>
      </c>
      <c r="D7" s="87" t="s">
        <v>29</v>
      </c>
      <c r="E7" s="37">
        <v>2016</v>
      </c>
      <c r="F7" s="4"/>
      <c r="G7" s="4"/>
      <c r="H7" s="37" t="s">
        <v>30</v>
      </c>
    </row>
    <row r="8" spans="2:10" ht="16.2" thickBot="1" x14ac:dyDescent="0.35">
      <c r="B8" s="131"/>
      <c r="C8" s="132"/>
      <c r="D8" s="87" t="s">
        <v>31</v>
      </c>
      <c r="E8" s="37">
        <v>2016</v>
      </c>
      <c r="F8" s="4"/>
      <c r="G8" s="4"/>
      <c r="H8" s="37" t="s">
        <v>32</v>
      </c>
    </row>
    <row r="9" spans="2:10" ht="16.2" thickBot="1" x14ac:dyDescent="0.35">
      <c r="B9" s="131"/>
      <c r="C9" s="132"/>
      <c r="D9" s="87" t="s">
        <v>33</v>
      </c>
      <c r="E9" s="37">
        <v>2016</v>
      </c>
      <c r="F9" s="4"/>
      <c r="G9" s="4"/>
      <c r="H9" s="37" t="s">
        <v>32</v>
      </c>
    </row>
    <row r="10" spans="2:10" ht="31.8" thickBot="1" x14ac:dyDescent="0.35">
      <c r="B10" s="128"/>
      <c r="C10" s="130"/>
      <c r="D10" s="87" t="s">
        <v>34</v>
      </c>
      <c r="E10" s="37">
        <v>2016</v>
      </c>
      <c r="F10" s="4"/>
      <c r="G10" s="4"/>
      <c r="H10" s="37" t="s">
        <v>35</v>
      </c>
    </row>
    <row r="11" spans="2:10" ht="16.2" thickBot="1" x14ac:dyDescent="0.35">
      <c r="B11" s="80">
        <v>4</v>
      </c>
      <c r="C11" s="123" t="s">
        <v>36</v>
      </c>
      <c r="D11" s="124"/>
      <c r="E11" s="37">
        <v>2016</v>
      </c>
      <c r="F11" s="37"/>
      <c r="G11" s="37"/>
      <c r="H11" s="37">
        <v>21.99</v>
      </c>
    </row>
    <row r="12" spans="2:10" ht="16.2" thickBot="1" x14ac:dyDescent="0.35">
      <c r="B12" s="80">
        <v>5</v>
      </c>
      <c r="C12" s="123" t="s">
        <v>37</v>
      </c>
      <c r="D12" s="124"/>
      <c r="E12" s="37">
        <v>2016</v>
      </c>
      <c r="F12" s="6"/>
      <c r="G12" s="6"/>
      <c r="H12" s="37">
        <v>5.7</v>
      </c>
    </row>
    <row r="13" spans="2:10" ht="15.6" x14ac:dyDescent="0.3">
      <c r="B13" s="122" t="s">
        <v>244</v>
      </c>
      <c r="C13" s="122"/>
      <c r="D13" s="122"/>
      <c r="E13" s="122"/>
      <c r="F13" s="122"/>
      <c r="G13" s="122"/>
      <c r="H13" s="122"/>
    </row>
    <row r="14" spans="2:10" x14ac:dyDescent="0.3">
      <c r="F14" s="17">
        <f>'7.1.1 - Caracterização'!E6</f>
        <v>2717</v>
      </c>
      <c r="G14" s="17">
        <f>'7.1.1 - Caracterização'!F6</f>
        <v>894</v>
      </c>
      <c r="H14" s="17">
        <f>'7.1.1 - Caracterização'!G6</f>
        <v>3611</v>
      </c>
    </row>
    <row r="15" spans="2:10" x14ac:dyDescent="0.3">
      <c r="F15" s="43">
        <f>'7.1.1 - Caracterização'!E7</f>
        <v>2.77</v>
      </c>
      <c r="G15" s="43">
        <f>'7.1.1 - Caracterização'!F7</f>
        <v>2.99</v>
      </c>
      <c r="H15" s="43">
        <f>'7.1.1 - Caracterização'!G7</f>
        <v>2.82</v>
      </c>
    </row>
    <row r="16" spans="2:10" x14ac:dyDescent="0.3">
      <c r="F16" s="17">
        <f>'7.1.1 - Caracterização'!E8</f>
        <v>981</v>
      </c>
      <c r="G16" s="17">
        <f>'7.1.1 - Caracterização'!F8</f>
        <v>299</v>
      </c>
      <c r="H16" s="17">
        <f>'7.1.1 - Caracterização'!G8</f>
        <v>1280</v>
      </c>
    </row>
    <row r="18" spans="6:6" x14ac:dyDescent="0.3">
      <c r="F18">
        <f>(F4*F14+G14*G4)/H14</f>
        <v>75.242315148158411</v>
      </c>
    </row>
    <row r="19" spans="6:6" x14ac:dyDescent="0.3">
      <c r="F19">
        <f>(F5*F14+G14*G5)/H14</f>
        <v>18.939628911658819</v>
      </c>
    </row>
    <row r="20" spans="6:6" x14ac:dyDescent="0.3">
      <c r="F20">
        <f>SUM(F18:F19)</f>
        <v>94.181944059817226</v>
      </c>
    </row>
  </sheetData>
  <mergeCells count="9">
    <mergeCell ref="B2:H2"/>
    <mergeCell ref="B13:H13"/>
    <mergeCell ref="C12:D12"/>
    <mergeCell ref="C3:D3"/>
    <mergeCell ref="B4:B5"/>
    <mergeCell ref="C4:C5"/>
    <mergeCell ref="B7:B10"/>
    <mergeCell ref="C7:C10"/>
    <mergeCell ref="C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D16" sqref="D16"/>
    </sheetView>
  </sheetViews>
  <sheetFormatPr defaultRowHeight="14.4" x14ac:dyDescent="0.3"/>
  <cols>
    <col min="3" max="3" width="35.44140625" customWidth="1"/>
    <col min="4" max="4" width="34.77734375" customWidth="1"/>
    <col min="8" max="8" width="7.33203125" bestFit="1" customWidth="1"/>
  </cols>
  <sheetData>
    <row r="2" spans="2:10" ht="18.600000000000001" thickBot="1" x14ac:dyDescent="0.4">
      <c r="B2" s="133" t="s">
        <v>239</v>
      </c>
      <c r="C2" s="133"/>
      <c r="D2" s="133"/>
      <c r="E2" s="133"/>
      <c r="F2" s="133"/>
      <c r="G2" s="133"/>
      <c r="H2" s="133"/>
    </row>
    <row r="3" spans="2:10" ht="31.8" thickBot="1" x14ac:dyDescent="0.35">
      <c r="B3" s="1" t="s">
        <v>0</v>
      </c>
      <c r="C3" s="125" t="s">
        <v>22</v>
      </c>
      <c r="D3" s="126"/>
      <c r="E3" s="2" t="s">
        <v>2</v>
      </c>
      <c r="F3" s="2" t="s">
        <v>3</v>
      </c>
      <c r="G3" s="2" t="s">
        <v>4</v>
      </c>
      <c r="H3" s="2" t="s">
        <v>23</v>
      </c>
    </row>
    <row r="4" spans="2:10" ht="31.8" thickBot="1" x14ac:dyDescent="0.35">
      <c r="B4" s="127">
        <v>1</v>
      </c>
      <c r="C4" s="129" t="s">
        <v>24</v>
      </c>
      <c r="D4" s="87" t="s">
        <v>38</v>
      </c>
      <c r="E4" s="85">
        <v>2010</v>
      </c>
      <c r="F4" s="42">
        <v>0</v>
      </c>
      <c r="G4" s="42">
        <v>0</v>
      </c>
      <c r="H4" s="36">
        <f>(F4*F10+G4*G10)/H10</f>
        <v>0</v>
      </c>
    </row>
    <row r="5" spans="2:10" ht="16.2" thickBot="1" x14ac:dyDescent="0.35">
      <c r="B5" s="131"/>
      <c r="C5" s="132"/>
      <c r="D5" s="87" t="s">
        <v>39</v>
      </c>
      <c r="E5" s="85">
        <v>2016</v>
      </c>
      <c r="F5" s="6"/>
      <c r="G5" s="6"/>
      <c r="H5" s="42">
        <v>0</v>
      </c>
    </row>
    <row r="6" spans="2:10" ht="16.2" thickBot="1" x14ac:dyDescent="0.35">
      <c r="B6" s="128"/>
      <c r="C6" s="130"/>
      <c r="D6" s="87" t="s">
        <v>40</v>
      </c>
      <c r="E6" s="85">
        <v>2010</v>
      </c>
      <c r="F6" s="37">
        <v>48.87</v>
      </c>
      <c r="G6" s="37">
        <v>48.32</v>
      </c>
      <c r="H6" s="35">
        <f>(F6*F10+G6*G10)/H10</f>
        <v>48.73383273331487</v>
      </c>
      <c r="J6">
        <f>(F6*F10+G6*G10)/H10</f>
        <v>48.73383273331487</v>
      </c>
    </row>
    <row r="7" spans="2:10" ht="16.2" thickBot="1" x14ac:dyDescent="0.35">
      <c r="B7" s="80">
        <v>2</v>
      </c>
      <c r="C7" s="123" t="s">
        <v>41</v>
      </c>
      <c r="D7" s="124"/>
      <c r="E7" s="85">
        <v>2016</v>
      </c>
      <c r="F7" s="6"/>
      <c r="G7" s="6"/>
      <c r="H7" s="42">
        <v>0</v>
      </c>
    </row>
    <row r="8" spans="2:10" x14ac:dyDescent="0.3">
      <c r="B8" s="134" t="s">
        <v>245</v>
      </c>
      <c r="C8" s="134"/>
      <c r="D8" s="134"/>
      <c r="E8" s="134"/>
      <c r="F8" s="134"/>
      <c r="G8" s="134"/>
      <c r="H8" s="134"/>
    </row>
    <row r="10" spans="2:10" x14ac:dyDescent="0.3">
      <c r="F10" s="17">
        <f>'7.5.1 Água'!F14</f>
        <v>2717</v>
      </c>
      <c r="G10" s="17">
        <f>'7.5.1 Água'!G14</f>
        <v>894</v>
      </c>
      <c r="H10" s="17">
        <f>'7.5.1 Água'!H14</f>
        <v>3611</v>
      </c>
    </row>
    <row r="11" spans="2:10" x14ac:dyDescent="0.3">
      <c r="F11" s="43">
        <f>'7.5.1 Água'!F15</f>
        <v>2.77</v>
      </c>
      <c r="G11" s="43">
        <f>'7.5.1 Água'!G15</f>
        <v>2.99</v>
      </c>
      <c r="H11" s="43">
        <f>'7.5.1 Água'!H15</f>
        <v>2.82</v>
      </c>
    </row>
    <row r="12" spans="2:10" x14ac:dyDescent="0.3">
      <c r="F12" s="17">
        <f>'7.5.1 Água'!F16</f>
        <v>981</v>
      </c>
      <c r="G12" s="17">
        <f>'7.5.1 Água'!G16</f>
        <v>299</v>
      </c>
      <c r="H12" s="17">
        <f>'7.5.1 Água'!H16</f>
        <v>1280</v>
      </c>
    </row>
  </sheetData>
  <mergeCells count="6">
    <mergeCell ref="B2:H2"/>
    <mergeCell ref="B8:H8"/>
    <mergeCell ref="C3:D3"/>
    <mergeCell ref="B4:B6"/>
    <mergeCell ref="C4:C6"/>
    <mergeCell ref="C7:D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workbookViewId="0">
      <selection activeCell="B2" sqref="B2:H14"/>
    </sheetView>
  </sheetViews>
  <sheetFormatPr defaultRowHeight="14.4" x14ac:dyDescent="0.3"/>
  <cols>
    <col min="3" max="3" width="35.5546875" customWidth="1"/>
    <col min="4" max="4" width="35.44140625" customWidth="1"/>
    <col min="8" max="8" width="9.5546875" customWidth="1"/>
  </cols>
  <sheetData>
    <row r="2" spans="2:10" ht="18.600000000000001" thickBot="1" x14ac:dyDescent="0.4">
      <c r="B2" s="133" t="s">
        <v>240</v>
      </c>
      <c r="C2" s="133"/>
      <c r="D2" s="133"/>
      <c r="E2" s="133"/>
      <c r="F2" s="133"/>
      <c r="G2" s="133"/>
      <c r="H2" s="133"/>
    </row>
    <row r="3" spans="2:10" ht="31.8" thickBot="1" x14ac:dyDescent="0.35">
      <c r="B3" s="1" t="s">
        <v>42</v>
      </c>
      <c r="C3" s="125" t="s">
        <v>22</v>
      </c>
      <c r="D3" s="126"/>
      <c r="E3" s="2" t="s">
        <v>2</v>
      </c>
      <c r="F3" s="2" t="s">
        <v>3</v>
      </c>
      <c r="G3" s="2" t="s">
        <v>4</v>
      </c>
      <c r="H3" s="2" t="s">
        <v>23</v>
      </c>
    </row>
    <row r="4" spans="2:10" ht="16.2" thickBot="1" x14ac:dyDescent="0.35">
      <c r="B4" s="127">
        <v>1</v>
      </c>
      <c r="C4" s="129" t="s">
        <v>24</v>
      </c>
      <c r="D4" s="87" t="s">
        <v>43</v>
      </c>
      <c r="E4" s="45">
        <v>2016</v>
      </c>
      <c r="F4" s="37">
        <v>100</v>
      </c>
      <c r="G4" s="37">
        <v>0</v>
      </c>
      <c r="H4" s="36">
        <f>(F4*F16+G4*G16)/H16</f>
        <v>75.242315148158411</v>
      </c>
      <c r="J4">
        <f>(F4*F16+G4*G16)/H16</f>
        <v>75.242315148158411</v>
      </c>
    </row>
    <row r="5" spans="2:10" ht="14.4" customHeight="1" x14ac:dyDescent="0.3">
      <c r="B5" s="131"/>
      <c r="C5" s="132"/>
      <c r="D5" s="129" t="s">
        <v>44</v>
      </c>
      <c r="E5" s="139">
        <v>2016</v>
      </c>
      <c r="F5" s="141">
        <v>0</v>
      </c>
      <c r="G5" s="137"/>
      <c r="H5" s="135"/>
    </row>
    <row r="6" spans="2:10" ht="15" customHeight="1" thickBot="1" x14ac:dyDescent="0.35">
      <c r="B6" s="128"/>
      <c r="C6" s="130"/>
      <c r="D6" s="130"/>
      <c r="E6" s="140"/>
      <c r="F6" s="142"/>
      <c r="G6" s="138"/>
      <c r="H6" s="136"/>
    </row>
    <row r="7" spans="2:10" ht="16.2" thickBot="1" x14ac:dyDescent="0.35">
      <c r="B7" s="80">
        <v>2</v>
      </c>
      <c r="C7" s="123" t="s">
        <v>45</v>
      </c>
      <c r="D7" s="124"/>
      <c r="E7" s="45">
        <v>2016</v>
      </c>
      <c r="F7" s="4"/>
      <c r="G7" s="4"/>
      <c r="H7" s="47" t="s">
        <v>13</v>
      </c>
      <c r="J7" s="36"/>
    </row>
    <row r="8" spans="2:10" ht="16.2" thickBot="1" x14ac:dyDescent="0.35">
      <c r="B8" s="80">
        <v>3</v>
      </c>
      <c r="C8" s="123" t="s">
        <v>46</v>
      </c>
      <c r="D8" s="124"/>
      <c r="E8" s="45">
        <v>2016</v>
      </c>
      <c r="F8" s="4"/>
      <c r="G8" s="4"/>
      <c r="H8" s="47" t="s">
        <v>47</v>
      </c>
    </row>
    <row r="9" spans="2:10" ht="16.2" thickBot="1" x14ac:dyDescent="0.35">
      <c r="B9" s="80">
        <v>4</v>
      </c>
      <c r="C9" s="123" t="s">
        <v>48</v>
      </c>
      <c r="D9" s="124"/>
      <c r="E9" s="45">
        <v>2016</v>
      </c>
      <c r="F9" s="4"/>
      <c r="G9" s="4"/>
      <c r="H9" s="47" t="s">
        <v>13</v>
      </c>
      <c r="J9" s="44"/>
    </row>
    <row r="10" spans="2:10" ht="16.2" thickBot="1" x14ac:dyDescent="0.35">
      <c r="B10" s="80">
        <v>5</v>
      </c>
      <c r="C10" s="123" t="s">
        <v>49</v>
      </c>
      <c r="D10" s="124"/>
      <c r="E10" s="45">
        <v>2016</v>
      </c>
      <c r="F10" s="4"/>
      <c r="G10" s="4"/>
      <c r="H10" s="47">
        <v>0</v>
      </c>
    </row>
    <row r="11" spans="2:10" ht="16.2" thickBot="1" x14ac:dyDescent="0.35">
      <c r="B11" s="127">
        <v>6</v>
      </c>
      <c r="C11" s="129" t="s">
        <v>50</v>
      </c>
      <c r="D11" s="87" t="s">
        <v>51</v>
      </c>
      <c r="E11" s="45">
        <v>2016</v>
      </c>
      <c r="F11" s="4"/>
      <c r="G11" s="4"/>
      <c r="H11" s="47">
        <v>100</v>
      </c>
    </row>
    <row r="12" spans="2:10" ht="16.2" thickBot="1" x14ac:dyDescent="0.35">
      <c r="B12" s="131"/>
      <c r="C12" s="132"/>
      <c r="D12" s="87" t="s">
        <v>52</v>
      </c>
      <c r="E12" s="46">
        <v>2016</v>
      </c>
      <c r="F12" s="4"/>
      <c r="G12" s="4"/>
      <c r="H12" s="47">
        <v>0</v>
      </c>
    </row>
    <row r="13" spans="2:10" ht="16.2" thickBot="1" x14ac:dyDescent="0.35">
      <c r="B13" s="128"/>
      <c r="C13" s="130"/>
      <c r="D13" s="87" t="s">
        <v>53</v>
      </c>
      <c r="E13" s="46">
        <v>2016</v>
      </c>
      <c r="F13" s="4"/>
      <c r="G13" s="4"/>
      <c r="H13" s="47">
        <v>0</v>
      </c>
    </row>
    <row r="14" spans="2:10" x14ac:dyDescent="0.3">
      <c r="B14" s="134" t="s">
        <v>246</v>
      </c>
      <c r="C14" s="134"/>
      <c r="D14" s="134"/>
      <c r="E14" s="134"/>
      <c r="F14" s="134"/>
      <c r="G14" s="134"/>
      <c r="H14" s="134"/>
    </row>
    <row r="16" spans="2:10" x14ac:dyDescent="0.3">
      <c r="F16" s="17">
        <f>'7.5.1 Água'!F14</f>
        <v>2717</v>
      </c>
      <c r="G16" s="17">
        <f>'7.5.1 Água'!G14</f>
        <v>894</v>
      </c>
      <c r="H16" s="17">
        <f>'7.5.1 Água'!H14</f>
        <v>3611</v>
      </c>
    </row>
    <row r="17" spans="6:8" x14ac:dyDescent="0.3">
      <c r="F17" s="43">
        <f>'7.5.1 Água'!F15</f>
        <v>2.77</v>
      </c>
      <c r="G17" s="43">
        <f>'7.5.1 Água'!G15</f>
        <v>2.99</v>
      </c>
      <c r="H17" s="43">
        <f>'7.5.1 Água'!H15</f>
        <v>2.82</v>
      </c>
    </row>
    <row r="18" spans="6:8" x14ac:dyDescent="0.3">
      <c r="F18" s="17">
        <f>'7.5.1 Água'!F16</f>
        <v>981</v>
      </c>
      <c r="G18" s="17">
        <f>'7.5.1 Água'!G16</f>
        <v>299</v>
      </c>
      <c r="H18" s="17">
        <f>'7.5.1 Água'!H16</f>
        <v>1280</v>
      </c>
    </row>
  </sheetData>
  <mergeCells count="16">
    <mergeCell ref="B2:H2"/>
    <mergeCell ref="B14:H14"/>
    <mergeCell ref="B4:B6"/>
    <mergeCell ref="C4:C6"/>
    <mergeCell ref="D5:D6"/>
    <mergeCell ref="B11:B13"/>
    <mergeCell ref="C11:C13"/>
    <mergeCell ref="C7:D7"/>
    <mergeCell ref="C8:D8"/>
    <mergeCell ref="C9:D9"/>
    <mergeCell ref="C10:D10"/>
    <mergeCell ref="H5:H6"/>
    <mergeCell ref="G5:G6"/>
    <mergeCell ref="E5:E6"/>
    <mergeCell ref="F5:F6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F4" sqref="F4"/>
    </sheetView>
  </sheetViews>
  <sheetFormatPr defaultRowHeight="14.4" x14ac:dyDescent="0.3"/>
  <cols>
    <col min="2" max="2" width="5.21875" bestFit="1" customWidth="1"/>
    <col min="3" max="3" width="37.109375" customWidth="1"/>
    <col min="4" max="4" width="35.44140625" customWidth="1"/>
  </cols>
  <sheetData>
    <row r="2" spans="2:8" ht="18.600000000000001" thickBot="1" x14ac:dyDescent="0.4">
      <c r="B2" s="133" t="s">
        <v>241</v>
      </c>
      <c r="C2" s="133"/>
      <c r="D2" s="133"/>
      <c r="E2" s="133"/>
      <c r="F2" s="133"/>
      <c r="G2" s="133"/>
      <c r="H2" s="133"/>
    </row>
    <row r="3" spans="2:8" ht="31.8" customHeight="1" thickBot="1" x14ac:dyDescent="0.35">
      <c r="B3" s="1" t="s">
        <v>131</v>
      </c>
      <c r="C3" s="125" t="s">
        <v>22</v>
      </c>
      <c r="D3" s="126"/>
      <c r="E3" s="2" t="s">
        <v>2</v>
      </c>
      <c r="F3" s="2" t="s">
        <v>3</v>
      </c>
      <c r="G3" s="2" t="s">
        <v>4</v>
      </c>
      <c r="H3" s="2" t="s">
        <v>23</v>
      </c>
    </row>
    <row r="4" spans="2:8" ht="16.2" thickBot="1" x14ac:dyDescent="0.35">
      <c r="B4" s="89" t="s">
        <v>197</v>
      </c>
      <c r="C4" s="129" t="s">
        <v>54</v>
      </c>
      <c r="D4" s="87" t="s">
        <v>55</v>
      </c>
      <c r="E4" s="85">
        <v>2016</v>
      </c>
      <c r="F4" s="38">
        <f>INT(F16*F8/100)</f>
        <v>686</v>
      </c>
      <c r="G4" s="38">
        <f>INT(G16*G8/100)</f>
        <v>0</v>
      </c>
      <c r="H4" s="38">
        <f>F4+G4</f>
        <v>686</v>
      </c>
    </row>
    <row r="5" spans="2:8" ht="16.2" thickBot="1" x14ac:dyDescent="0.35">
      <c r="B5" s="90" t="s">
        <v>198</v>
      </c>
      <c r="C5" s="130"/>
      <c r="D5" s="87" t="s">
        <v>56</v>
      </c>
      <c r="E5" s="85">
        <v>2016</v>
      </c>
      <c r="F5" s="38">
        <f>INT(F16*F9/100)</f>
        <v>0</v>
      </c>
      <c r="G5" s="38">
        <f>INT(G16*G9/100)</f>
        <v>0</v>
      </c>
      <c r="H5" s="38">
        <f>F5+G5</f>
        <v>0</v>
      </c>
    </row>
    <row r="6" spans="2:8" ht="16.2" thickBot="1" x14ac:dyDescent="0.35">
      <c r="B6" s="89" t="s">
        <v>199</v>
      </c>
      <c r="C6" s="129" t="s">
        <v>57</v>
      </c>
      <c r="D6" s="87" t="s">
        <v>55</v>
      </c>
      <c r="E6" s="85">
        <v>2016</v>
      </c>
      <c r="F6" s="38">
        <f>INT(F4*91.4/100)</f>
        <v>627</v>
      </c>
      <c r="G6" s="38">
        <f>INT(G4*91.4/100)</f>
        <v>0</v>
      </c>
      <c r="H6" s="38">
        <f>F6+G6</f>
        <v>627</v>
      </c>
    </row>
    <row r="7" spans="2:8" ht="16.2" thickBot="1" x14ac:dyDescent="0.35">
      <c r="B7" s="90" t="s">
        <v>200</v>
      </c>
      <c r="C7" s="130"/>
      <c r="D7" s="87" t="s">
        <v>56</v>
      </c>
      <c r="E7" s="85">
        <v>2016</v>
      </c>
      <c r="F7" s="38">
        <f>INT(F5*91.4/100)</f>
        <v>0</v>
      </c>
      <c r="G7" s="38">
        <f>INT(G5*91.4/100)</f>
        <v>0</v>
      </c>
      <c r="H7" s="38">
        <f>F7+G7</f>
        <v>0</v>
      </c>
    </row>
    <row r="8" spans="2:8" ht="16.2" thickBot="1" x14ac:dyDescent="0.35">
      <c r="B8" s="89" t="s">
        <v>201</v>
      </c>
      <c r="C8" s="129" t="s">
        <v>24</v>
      </c>
      <c r="D8" s="87" t="s">
        <v>55</v>
      </c>
      <c r="E8" s="85">
        <v>2016</v>
      </c>
      <c r="F8" s="37">
        <v>70</v>
      </c>
      <c r="G8" s="37">
        <v>0</v>
      </c>
      <c r="H8" s="37">
        <v>70</v>
      </c>
    </row>
    <row r="9" spans="2:8" ht="16.2" thickBot="1" x14ac:dyDescent="0.35">
      <c r="B9" s="90" t="s">
        <v>202</v>
      </c>
      <c r="C9" s="130"/>
      <c r="D9" s="87" t="s">
        <v>56</v>
      </c>
      <c r="E9" s="85">
        <v>2016</v>
      </c>
      <c r="F9" s="37">
        <v>0</v>
      </c>
      <c r="G9" s="37">
        <v>0</v>
      </c>
      <c r="H9" s="37">
        <v>0</v>
      </c>
    </row>
    <row r="10" spans="2:8" ht="16.2" thickBot="1" x14ac:dyDescent="0.35">
      <c r="B10" s="90">
        <v>4</v>
      </c>
      <c r="C10" s="123" t="s">
        <v>58</v>
      </c>
      <c r="D10" s="124"/>
      <c r="E10" s="85">
        <v>2016</v>
      </c>
      <c r="F10" s="37">
        <v>0</v>
      </c>
      <c r="G10" s="37">
        <v>0</v>
      </c>
      <c r="H10" s="37">
        <v>0</v>
      </c>
    </row>
    <row r="11" spans="2:8" ht="16.2" thickBot="1" x14ac:dyDescent="0.35">
      <c r="B11" s="90">
        <v>5</v>
      </c>
      <c r="C11" s="123" t="s">
        <v>59</v>
      </c>
      <c r="D11" s="124"/>
      <c r="E11" s="85">
        <v>2016</v>
      </c>
      <c r="F11" s="37">
        <v>0</v>
      </c>
      <c r="G11" s="37">
        <v>0</v>
      </c>
      <c r="H11" s="37">
        <v>0</v>
      </c>
    </row>
    <row r="12" spans="2:8" ht="15.6" x14ac:dyDescent="0.3">
      <c r="B12" s="143" t="s">
        <v>247</v>
      </c>
      <c r="C12" s="143"/>
      <c r="D12" s="143"/>
      <c r="E12" s="143"/>
      <c r="F12" s="143"/>
      <c r="G12" s="143"/>
      <c r="H12" s="143"/>
    </row>
    <row r="14" spans="2:8" x14ac:dyDescent="0.3">
      <c r="F14" s="17">
        <f>'7.5.1 Água'!F14</f>
        <v>2717</v>
      </c>
      <c r="G14" s="17">
        <f>'7.5.1 Água'!G14</f>
        <v>894</v>
      </c>
      <c r="H14" s="17">
        <f>'7.5.1 Água'!H14</f>
        <v>3611</v>
      </c>
    </row>
    <row r="15" spans="2:8" x14ac:dyDescent="0.3">
      <c r="F15" s="43">
        <f>'7.5.1 Água'!F15</f>
        <v>2.77</v>
      </c>
      <c r="G15" s="43">
        <f>'7.5.1 Água'!G15</f>
        <v>2.99</v>
      </c>
      <c r="H15" s="43">
        <f>'7.5.1 Água'!H15</f>
        <v>2.82</v>
      </c>
    </row>
    <row r="16" spans="2:8" x14ac:dyDescent="0.3">
      <c r="F16" s="17">
        <f>'7.5.1 Água'!F16</f>
        <v>981</v>
      </c>
      <c r="G16" s="17">
        <f>'7.5.1 Água'!G16</f>
        <v>299</v>
      </c>
      <c r="H16" s="17">
        <f>'7.5.1 Água'!H16</f>
        <v>1280</v>
      </c>
    </row>
  </sheetData>
  <mergeCells count="8">
    <mergeCell ref="B2:H2"/>
    <mergeCell ref="B12:H12"/>
    <mergeCell ref="C3:D3"/>
    <mergeCell ref="C11:D11"/>
    <mergeCell ref="C4:C5"/>
    <mergeCell ref="C6:C7"/>
    <mergeCell ref="C8:C9"/>
    <mergeCell ref="C10:D10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opLeftCell="B7" zoomScale="145" zoomScaleNormal="145" workbookViewId="0">
      <selection activeCell="F32" sqref="F32"/>
    </sheetView>
  </sheetViews>
  <sheetFormatPr defaultRowHeight="14.4" x14ac:dyDescent="0.3"/>
  <cols>
    <col min="2" max="2" width="59.109375" customWidth="1"/>
    <col min="3" max="3" width="15.5546875" customWidth="1"/>
    <col min="4" max="6" width="18.88671875" customWidth="1"/>
    <col min="10" max="10" width="59.109375" customWidth="1"/>
    <col min="11" max="11" width="15.5546875" customWidth="1"/>
    <col min="12" max="14" width="18.88671875" customWidth="1"/>
  </cols>
  <sheetData>
    <row r="2" spans="2:14" ht="18.600000000000001" thickBot="1" x14ac:dyDescent="0.4">
      <c r="B2" s="133" t="s">
        <v>242</v>
      </c>
      <c r="C2" s="133"/>
      <c r="D2" s="133"/>
      <c r="E2" s="133"/>
      <c r="F2" s="133"/>
      <c r="J2" s="120" t="s">
        <v>242</v>
      </c>
      <c r="K2" s="120"/>
      <c r="L2" s="120"/>
      <c r="M2" s="120"/>
      <c r="N2" s="120"/>
    </row>
    <row r="3" spans="2:14" ht="63" thickBot="1" x14ac:dyDescent="0.35">
      <c r="B3" s="144" t="s">
        <v>60</v>
      </c>
      <c r="C3" s="8" t="s">
        <v>61</v>
      </c>
      <c r="D3" s="8" t="s">
        <v>63</v>
      </c>
      <c r="E3" s="8" t="s">
        <v>65</v>
      </c>
      <c r="F3" s="8" t="s">
        <v>67</v>
      </c>
      <c r="J3" s="144" t="s">
        <v>60</v>
      </c>
      <c r="K3" s="8" t="s">
        <v>61</v>
      </c>
      <c r="L3" s="8" t="s">
        <v>63</v>
      </c>
      <c r="M3" s="8" t="s">
        <v>65</v>
      </c>
      <c r="N3" s="8" t="s">
        <v>67</v>
      </c>
    </row>
    <row r="4" spans="2:14" ht="16.2" thickBot="1" x14ac:dyDescent="0.35">
      <c r="B4" s="145"/>
      <c r="C4" s="50" t="s">
        <v>203</v>
      </c>
      <c r="D4" s="51" t="s">
        <v>204</v>
      </c>
      <c r="E4" s="51" t="s">
        <v>204</v>
      </c>
      <c r="F4" s="51" t="s">
        <v>204</v>
      </c>
      <c r="J4" s="145"/>
      <c r="K4" s="8" t="s">
        <v>203</v>
      </c>
      <c r="L4" s="8" t="s">
        <v>204</v>
      </c>
      <c r="M4" s="8" t="s">
        <v>204</v>
      </c>
      <c r="N4" s="8" t="s">
        <v>204</v>
      </c>
    </row>
    <row r="5" spans="2:14" ht="16.2" thickBot="1" x14ac:dyDescent="0.35">
      <c r="B5" s="125" t="s">
        <v>69</v>
      </c>
      <c r="C5" s="146"/>
      <c r="D5" s="146"/>
      <c r="E5" s="146"/>
      <c r="F5" s="126"/>
      <c r="J5" s="125" t="s">
        <v>69</v>
      </c>
      <c r="K5" s="146"/>
      <c r="L5" s="146"/>
      <c r="M5" s="146"/>
      <c r="N5" s="126"/>
    </row>
    <row r="6" spans="2:14" ht="31.8" thickBot="1" x14ac:dyDescent="0.35">
      <c r="B6" s="91" t="s">
        <v>70</v>
      </c>
      <c r="C6" s="35">
        <f>'7.5.1 Água'!H4+'7.5.1 Água'!H5</f>
        <v>94.181944059817226</v>
      </c>
      <c r="D6" s="35">
        <f>(D7*'7.5.1 Água'!F14+'8.3.1 Metas'!D8*'7.5.1 Água'!G14)/'7.5.1 Água'!H14</f>
        <v>100</v>
      </c>
      <c r="E6" s="35">
        <f>(E7*'7.5.1 Água'!F14+'8.3.1 Metas'!E8*'7.5.1 Água'!G14)/'7.5.1 Água'!H14</f>
        <v>100</v>
      </c>
      <c r="F6" s="35">
        <f>(F7*'7.5.1 Água'!F14+'8.3.1 Metas'!F8*'7.5.1 Água'!G14)/'7.5.1 Água'!H14</f>
        <v>100</v>
      </c>
      <c r="J6" s="11" t="s">
        <v>70</v>
      </c>
      <c r="K6" s="83"/>
      <c r="L6" s="83"/>
      <c r="M6" s="83"/>
      <c r="N6" s="83"/>
    </row>
    <row r="7" spans="2:14" ht="31.8" thickBot="1" x14ac:dyDescent="0.35">
      <c r="B7" s="91" t="s">
        <v>71</v>
      </c>
      <c r="C7" s="35">
        <f>'7.5.1 Água'!F4+'7.5.1 Água'!F5</f>
        <v>100</v>
      </c>
      <c r="D7" s="48">
        <v>100</v>
      </c>
      <c r="E7" s="48">
        <v>100</v>
      </c>
      <c r="F7" s="48">
        <v>100</v>
      </c>
      <c r="J7" s="11" t="s">
        <v>71</v>
      </c>
      <c r="K7" s="83"/>
      <c r="L7" s="83"/>
      <c r="M7" s="83"/>
      <c r="N7" s="83"/>
    </row>
    <row r="8" spans="2:14" ht="31.8" thickBot="1" x14ac:dyDescent="0.35">
      <c r="B8" s="91" t="s">
        <v>72</v>
      </c>
      <c r="C8" s="35">
        <f>'7.5.1 Água'!G4+'7.5.1 Água'!G5</f>
        <v>76.5</v>
      </c>
      <c r="D8" s="48">
        <v>100</v>
      </c>
      <c r="E8" s="48">
        <v>100</v>
      </c>
      <c r="F8" s="48">
        <v>100</v>
      </c>
      <c r="J8" s="11" t="s">
        <v>72</v>
      </c>
      <c r="K8" s="83"/>
      <c r="L8" s="83"/>
      <c r="M8" s="83"/>
      <c r="N8" s="83"/>
    </row>
    <row r="9" spans="2:14" ht="31.8" thickBot="1" x14ac:dyDescent="0.35">
      <c r="B9" s="91" t="s">
        <v>73</v>
      </c>
      <c r="C9" s="36">
        <f>'7.5.1 Água'!H6</f>
        <v>0</v>
      </c>
      <c r="D9" s="42">
        <v>0</v>
      </c>
      <c r="E9" s="42">
        <v>0</v>
      </c>
      <c r="F9" s="42">
        <v>0</v>
      </c>
      <c r="J9" s="11" t="s">
        <v>73</v>
      </c>
      <c r="K9" s="84"/>
      <c r="L9" s="84"/>
      <c r="M9" s="84"/>
      <c r="N9" s="84"/>
    </row>
    <row r="10" spans="2:14" ht="16.2" thickBot="1" x14ac:dyDescent="0.35">
      <c r="B10" s="91" t="s">
        <v>74</v>
      </c>
      <c r="C10" s="35">
        <f>'7.5.1 Água'!H11</f>
        <v>21.99</v>
      </c>
      <c r="D10" s="48">
        <v>20</v>
      </c>
      <c r="E10" s="48">
        <v>20</v>
      </c>
      <c r="F10" s="48">
        <v>20</v>
      </c>
      <c r="J10" s="11" t="s">
        <v>74</v>
      </c>
      <c r="K10" s="83"/>
      <c r="L10" s="83"/>
      <c r="M10" s="83"/>
      <c r="N10" s="83"/>
    </row>
    <row r="11" spans="2:14" ht="16.2" thickBot="1" x14ac:dyDescent="0.35">
      <c r="B11" s="7"/>
      <c r="C11" s="3"/>
      <c r="D11" s="3"/>
      <c r="E11" s="3"/>
      <c r="F11" s="3"/>
      <c r="J11" s="78"/>
      <c r="K11" s="85"/>
      <c r="L11" s="85"/>
      <c r="M11" s="85"/>
      <c r="N11" s="85"/>
    </row>
    <row r="12" spans="2:14" ht="16.2" thickBot="1" x14ac:dyDescent="0.35">
      <c r="B12" s="125" t="s">
        <v>75</v>
      </c>
      <c r="C12" s="146"/>
      <c r="D12" s="146"/>
      <c r="E12" s="146"/>
      <c r="F12" s="126"/>
      <c r="J12" s="125" t="s">
        <v>75</v>
      </c>
      <c r="K12" s="146"/>
      <c r="L12" s="146"/>
      <c r="M12" s="146"/>
      <c r="N12" s="126"/>
    </row>
    <row r="13" spans="2:14" ht="47.4" thickBot="1" x14ac:dyDescent="0.35">
      <c r="B13" s="91" t="s">
        <v>76</v>
      </c>
      <c r="C13" s="35">
        <f>'7.5.2 Esgotos'!H4+'7.5.2 Esgotos'!H6</f>
        <v>48.73383273331487</v>
      </c>
      <c r="D13" s="35">
        <f>(D14*'7.5.1 Água'!F14+'8.3.1 Metas'!D15*'7.5.1 Água'!G14)/'7.5.1 Água'!H14</f>
        <v>60</v>
      </c>
      <c r="E13" s="35">
        <f>(E14*'7.5.1 Água'!F14+'8.3.1 Metas'!E15*'7.5.1 Água'!G14)/'7.5.1 Água'!H14</f>
        <v>80</v>
      </c>
      <c r="F13" s="35">
        <f>(F14*'7.5.1 Água'!F14+'8.3.1 Metas'!F15*'7.5.1 Água'!G14)/'7.5.1 Água'!H14</f>
        <v>100</v>
      </c>
      <c r="J13" s="11" t="s">
        <v>76</v>
      </c>
      <c r="K13" s="83"/>
      <c r="L13" s="83"/>
      <c r="M13" s="83"/>
      <c r="N13" s="83"/>
    </row>
    <row r="14" spans="2:14" ht="31.8" thickBot="1" x14ac:dyDescent="0.35">
      <c r="B14" s="91" t="s">
        <v>77</v>
      </c>
      <c r="C14" s="35">
        <f>'7.5.2 Esgotos'!F4+'7.5.2 Esgotos'!F6</f>
        <v>48.87</v>
      </c>
      <c r="D14" s="48">
        <v>60</v>
      </c>
      <c r="E14" s="48">
        <v>80</v>
      </c>
      <c r="F14" s="48">
        <v>100</v>
      </c>
      <c r="J14" s="11" t="s">
        <v>77</v>
      </c>
      <c r="K14" s="83"/>
      <c r="L14" s="83"/>
      <c r="M14" s="83"/>
      <c r="N14" s="83"/>
    </row>
    <row r="15" spans="2:14" ht="31.8" thickBot="1" x14ac:dyDescent="0.35">
      <c r="B15" s="91" t="s">
        <v>78</v>
      </c>
      <c r="C15" s="35">
        <f>'7.5.2 Esgotos'!G4+'7.5.2 Esgotos'!G6</f>
        <v>48.32</v>
      </c>
      <c r="D15" s="48">
        <v>60</v>
      </c>
      <c r="E15" s="48">
        <v>80</v>
      </c>
      <c r="F15" s="48">
        <v>100</v>
      </c>
      <c r="J15" s="11" t="s">
        <v>78</v>
      </c>
      <c r="K15" s="83"/>
      <c r="L15" s="83"/>
      <c r="M15" s="83"/>
      <c r="N15" s="83"/>
    </row>
    <row r="16" spans="2:14" ht="16.2" thickBot="1" x14ac:dyDescent="0.35">
      <c r="B16" s="91" t="s">
        <v>79</v>
      </c>
      <c r="C16" s="36">
        <f>'7.5.2 Esgotos'!H5</f>
        <v>0</v>
      </c>
      <c r="D16" s="42">
        <v>60</v>
      </c>
      <c r="E16" s="42">
        <v>80</v>
      </c>
      <c r="F16" s="42">
        <v>100</v>
      </c>
      <c r="J16" s="11" t="s">
        <v>79</v>
      </c>
      <c r="K16" s="84"/>
      <c r="L16" s="84"/>
      <c r="M16" s="84"/>
      <c r="N16" s="84"/>
    </row>
    <row r="17" spans="2:14" ht="47.4" thickBot="1" x14ac:dyDescent="0.35">
      <c r="B17" s="91" t="s">
        <v>80</v>
      </c>
      <c r="C17" s="42">
        <v>100</v>
      </c>
      <c r="D17" s="42">
        <v>100</v>
      </c>
      <c r="E17" s="42">
        <v>100</v>
      </c>
      <c r="F17" s="42">
        <v>100</v>
      </c>
      <c r="J17" s="11" t="s">
        <v>80</v>
      </c>
      <c r="K17" s="84"/>
      <c r="L17" s="84"/>
      <c r="M17" s="84"/>
      <c r="N17" s="84"/>
    </row>
    <row r="18" spans="2:14" ht="15.6" x14ac:dyDescent="0.3">
      <c r="B18" s="82"/>
      <c r="C18" s="82"/>
      <c r="D18" s="82"/>
      <c r="E18" s="82"/>
      <c r="F18" s="82"/>
      <c r="J18" s="82"/>
      <c r="K18" s="82"/>
      <c r="L18" s="82"/>
      <c r="M18" s="82"/>
      <c r="N18" s="82"/>
    </row>
    <row r="19" spans="2:14" ht="18.600000000000001" thickBot="1" x14ac:dyDescent="0.4">
      <c r="B19" s="133" t="s">
        <v>243</v>
      </c>
      <c r="C19" s="133"/>
      <c r="D19" s="133"/>
      <c r="E19" s="133"/>
      <c r="F19" s="133"/>
      <c r="J19" s="120" t="s">
        <v>243</v>
      </c>
      <c r="K19" s="120"/>
      <c r="L19" s="120"/>
      <c r="M19" s="120"/>
      <c r="N19" s="120"/>
    </row>
    <row r="20" spans="2:14" ht="62.4" x14ac:dyDescent="0.3">
      <c r="B20" s="144" t="s">
        <v>60</v>
      </c>
      <c r="C20" s="8" t="s">
        <v>61</v>
      </c>
      <c r="D20" s="8" t="s">
        <v>63</v>
      </c>
      <c r="E20" s="8" t="s">
        <v>65</v>
      </c>
      <c r="F20" s="8" t="s">
        <v>67</v>
      </c>
      <c r="J20" s="144" t="s">
        <v>60</v>
      </c>
      <c r="K20" s="8" t="s">
        <v>61</v>
      </c>
      <c r="L20" s="8" t="s">
        <v>63</v>
      </c>
      <c r="M20" s="8" t="s">
        <v>65</v>
      </c>
      <c r="N20" s="8" t="s">
        <v>67</v>
      </c>
    </row>
    <row r="21" spans="2:14" ht="16.2" thickBot="1" x14ac:dyDescent="0.35">
      <c r="B21" s="145"/>
      <c r="C21" s="10" t="s">
        <v>62</v>
      </c>
      <c r="D21" s="9" t="s">
        <v>64</v>
      </c>
      <c r="E21" s="9" t="s">
        <v>66</v>
      </c>
      <c r="F21" s="9" t="s">
        <v>68</v>
      </c>
      <c r="J21" s="145"/>
      <c r="K21" s="10" t="s">
        <v>62</v>
      </c>
      <c r="L21" s="9" t="s">
        <v>64</v>
      </c>
      <c r="M21" s="9" t="s">
        <v>66</v>
      </c>
      <c r="N21" s="9" t="s">
        <v>68</v>
      </c>
    </row>
    <row r="22" spans="2:14" ht="16.2" thickBot="1" x14ac:dyDescent="0.35">
      <c r="B22" s="125" t="s">
        <v>81</v>
      </c>
      <c r="C22" s="146"/>
      <c r="D22" s="146"/>
      <c r="E22" s="146"/>
      <c r="F22" s="126"/>
      <c r="J22" s="125" t="s">
        <v>81</v>
      </c>
      <c r="K22" s="146"/>
      <c r="L22" s="146"/>
      <c r="M22" s="146"/>
      <c r="N22" s="126"/>
    </row>
    <row r="23" spans="2:14" ht="31.8" thickBot="1" x14ac:dyDescent="0.35">
      <c r="B23" s="91" t="s">
        <v>82</v>
      </c>
      <c r="C23" s="35">
        <f>'7.5.3 Lixo'!H4</f>
        <v>75.242315148158411</v>
      </c>
      <c r="D23" s="35">
        <f>(D24*'7.5.1 Água'!F14+'8.3.1 Metas'!D25*'7.5.1 Água'!G14)/'7.5.1 Água'!H14</f>
        <v>81.431736361118809</v>
      </c>
      <c r="E23" s="35">
        <f>(E24*'7.5.1 Água'!F14+'8.3.1 Metas'!E25*'7.5.1 Água'!G14)/'7.5.1 Água'!H14</f>
        <v>87.621157574079206</v>
      </c>
      <c r="F23" s="35">
        <f>(F24*'7.5.1 Água'!F14+'8.3.1 Metas'!F25*'7.5.1 Água'!G14)/'7.5.1 Água'!H14</f>
        <v>100</v>
      </c>
      <c r="J23" s="11" t="s">
        <v>82</v>
      </c>
      <c r="K23" s="83"/>
      <c r="L23" s="83"/>
      <c r="M23" s="83"/>
      <c r="N23" s="83"/>
    </row>
    <row r="24" spans="2:14" ht="31.8" thickBot="1" x14ac:dyDescent="0.35">
      <c r="B24" s="91" t="s">
        <v>83</v>
      </c>
      <c r="C24" s="35">
        <f>'7.5.3 Lixo'!F4</f>
        <v>100</v>
      </c>
      <c r="D24" s="48">
        <v>100</v>
      </c>
      <c r="E24" s="48">
        <v>100</v>
      </c>
      <c r="F24" s="48">
        <v>100</v>
      </c>
      <c r="J24" s="11" t="s">
        <v>83</v>
      </c>
      <c r="K24" s="83"/>
      <c r="L24" s="83"/>
      <c r="M24" s="83"/>
      <c r="N24" s="83"/>
    </row>
    <row r="25" spans="2:14" ht="31.8" thickBot="1" x14ac:dyDescent="0.35">
      <c r="B25" s="91" t="s">
        <v>84</v>
      </c>
      <c r="C25" s="36">
        <f>'7.5.3 Lixo'!G4</f>
        <v>0</v>
      </c>
      <c r="D25" s="48">
        <v>25</v>
      </c>
      <c r="E25" s="48">
        <v>50</v>
      </c>
      <c r="F25" s="48">
        <v>100</v>
      </c>
      <c r="J25" s="11" t="s">
        <v>84</v>
      </c>
      <c r="K25" s="84"/>
      <c r="L25" s="83"/>
      <c r="M25" s="83"/>
      <c r="N25" s="83"/>
    </row>
    <row r="26" spans="2:14" ht="47.4" thickBot="1" x14ac:dyDescent="0.35">
      <c r="B26" s="91" t="s">
        <v>85</v>
      </c>
      <c r="C26" s="36">
        <f>'7.5.3 Lixo'!H13</f>
        <v>0</v>
      </c>
      <c r="D26" s="48">
        <v>25</v>
      </c>
      <c r="E26" s="48">
        <v>50</v>
      </c>
      <c r="F26" s="48">
        <v>100</v>
      </c>
      <c r="J26" s="11" t="s">
        <v>85</v>
      </c>
      <c r="K26" s="84"/>
      <c r="L26" s="83"/>
      <c r="M26" s="83"/>
      <c r="N26" s="83"/>
    </row>
    <row r="27" spans="2:14" ht="16.2" thickBot="1" x14ac:dyDescent="0.35">
      <c r="B27" s="91" t="s">
        <v>86</v>
      </c>
      <c r="C27" s="36">
        <f>'7.5.3 Lixo'!F5</f>
        <v>0</v>
      </c>
      <c r="D27" s="48">
        <v>25</v>
      </c>
      <c r="E27" s="48">
        <v>50</v>
      </c>
      <c r="F27" s="48">
        <v>100</v>
      </c>
      <c r="J27" s="11" t="s">
        <v>86</v>
      </c>
      <c r="K27" s="84"/>
      <c r="L27" s="83"/>
      <c r="M27" s="83"/>
      <c r="N27" s="83"/>
    </row>
    <row r="28" spans="2:14" ht="16.2" thickBot="1" x14ac:dyDescent="0.35">
      <c r="B28" s="12"/>
      <c r="C28" s="3"/>
      <c r="D28" s="3"/>
      <c r="E28" s="3"/>
      <c r="F28" s="3"/>
      <c r="J28" s="12"/>
      <c r="K28" s="3"/>
      <c r="L28" s="3"/>
      <c r="M28" s="3"/>
      <c r="N28" s="3"/>
    </row>
    <row r="29" spans="2:14" ht="16.2" thickBot="1" x14ac:dyDescent="0.35">
      <c r="B29" s="125" t="s">
        <v>196</v>
      </c>
      <c r="C29" s="146"/>
      <c r="D29" s="146"/>
      <c r="E29" s="146"/>
      <c r="F29" s="126"/>
      <c r="J29" s="125" t="s">
        <v>196</v>
      </c>
      <c r="K29" s="146"/>
      <c r="L29" s="146"/>
      <c r="M29" s="146"/>
      <c r="N29" s="126"/>
    </row>
    <row r="30" spans="2:14" ht="31.8" thickBot="1" x14ac:dyDescent="0.35">
      <c r="B30" s="91" t="s">
        <v>87</v>
      </c>
      <c r="C30" s="49">
        <f>'7.5.4 Drenagem'!H4/'7.1.1 - Caracterização'!G8*100</f>
        <v>53.593749999999993</v>
      </c>
      <c r="D30" s="35">
        <f>(D31*'7.5.1 Água'!F14+'8.3.1 Metas'!D32*'7.5.1 Água'!G14)/'7.5.1 Água'!H14</f>
        <v>60.193852118526721</v>
      </c>
      <c r="E30" s="35">
        <f>(E31*'7.5.1 Água'!F14+'8.3.1 Metas'!E32*'7.5.1 Água'!G14)/'7.5.1 Água'!H14</f>
        <v>67.718083633342559</v>
      </c>
      <c r="F30" s="35">
        <f>(F31*'7.5.1 Água'!F14+'8.3.1 Metas'!F32*'7.5.1 Água'!G14)/'7.5.1 Água'!H14</f>
        <v>75.242315148158411</v>
      </c>
      <c r="J30" s="11" t="s">
        <v>87</v>
      </c>
      <c r="K30" s="86"/>
      <c r="L30" s="83"/>
      <c r="M30" s="83"/>
      <c r="N30" s="83"/>
    </row>
    <row r="31" spans="2:14" ht="31.8" thickBot="1" x14ac:dyDescent="0.35">
      <c r="B31" s="91" t="s">
        <v>88</v>
      </c>
      <c r="C31" s="35">
        <f>'7.5.4 Drenagem'!F4/'7.1.1 - Caracterização'!E8*100</f>
        <v>69.928644240570847</v>
      </c>
      <c r="D31" s="48">
        <v>80</v>
      </c>
      <c r="E31" s="48">
        <v>90</v>
      </c>
      <c r="F31" s="48">
        <v>100</v>
      </c>
      <c r="J31" s="11" t="s">
        <v>88</v>
      </c>
      <c r="K31" s="83"/>
      <c r="L31" s="83"/>
      <c r="M31" s="83"/>
      <c r="N31" s="83"/>
    </row>
    <row r="32" spans="2:14" ht="31.8" thickBot="1" x14ac:dyDescent="0.35">
      <c r="B32" s="91" t="s">
        <v>89</v>
      </c>
      <c r="C32" s="36">
        <f>'7.5.4 Drenagem'!G4/'7.1.1 - Caracterização'!F8*100</f>
        <v>0</v>
      </c>
      <c r="D32" s="42">
        <v>0</v>
      </c>
      <c r="E32" s="42">
        <v>0</v>
      </c>
      <c r="F32" s="42">
        <v>0</v>
      </c>
      <c r="J32" s="11" t="s">
        <v>89</v>
      </c>
      <c r="K32" s="84"/>
      <c r="L32" s="84"/>
      <c r="M32" s="84"/>
      <c r="N32" s="84"/>
    </row>
    <row r="33" spans="2:14" ht="31.8" thickBot="1" x14ac:dyDescent="0.35">
      <c r="B33" s="91" t="s">
        <v>90</v>
      </c>
      <c r="C33" s="36">
        <f>'7.5.4 Drenagem'!H10</f>
        <v>0</v>
      </c>
      <c r="D33" s="42">
        <f>C33</f>
        <v>0</v>
      </c>
      <c r="E33" s="42">
        <f>D33</f>
        <v>0</v>
      </c>
      <c r="F33" s="42">
        <f>E33</f>
        <v>0</v>
      </c>
      <c r="J33" s="11" t="s">
        <v>90</v>
      </c>
      <c r="K33" s="84"/>
      <c r="L33" s="84"/>
      <c r="M33" s="84"/>
      <c r="N33" s="84"/>
    </row>
  </sheetData>
  <mergeCells count="16">
    <mergeCell ref="J20:J21"/>
    <mergeCell ref="J22:N22"/>
    <mergeCell ref="J29:N29"/>
    <mergeCell ref="B2:F2"/>
    <mergeCell ref="B19:F19"/>
    <mergeCell ref="J2:N2"/>
    <mergeCell ref="J3:J4"/>
    <mergeCell ref="J5:N5"/>
    <mergeCell ref="J12:N12"/>
    <mergeCell ref="J19:N19"/>
    <mergeCell ref="B3:B4"/>
    <mergeCell ref="B5:F5"/>
    <mergeCell ref="B12:F12"/>
    <mergeCell ref="B22:F22"/>
    <mergeCell ref="B29:F29"/>
    <mergeCell ref="B20:B2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4" sqref="K4"/>
    </sheetView>
  </sheetViews>
  <sheetFormatPr defaultRowHeight="14.4" x14ac:dyDescent="0.3"/>
  <cols>
    <col min="1" max="1" width="60.33203125" bestFit="1" customWidth="1"/>
    <col min="3" max="3" width="10.109375" bestFit="1" customWidth="1"/>
    <col min="4" max="7" width="11.109375" bestFit="1" customWidth="1"/>
    <col min="257" max="257" width="60.33203125" bestFit="1" customWidth="1"/>
    <col min="259" max="259" width="10.109375" bestFit="1" customWidth="1"/>
    <col min="260" max="263" width="11.109375" bestFit="1" customWidth="1"/>
    <col min="513" max="513" width="60.33203125" bestFit="1" customWidth="1"/>
    <col min="515" max="515" width="10.109375" bestFit="1" customWidth="1"/>
    <col min="516" max="519" width="11.109375" bestFit="1" customWidth="1"/>
    <col min="769" max="769" width="60.33203125" bestFit="1" customWidth="1"/>
    <col min="771" max="771" width="10.109375" bestFit="1" customWidth="1"/>
    <col min="772" max="775" width="11.109375" bestFit="1" customWidth="1"/>
    <col min="1025" max="1025" width="60.33203125" bestFit="1" customWidth="1"/>
    <col min="1027" max="1027" width="10.109375" bestFit="1" customWidth="1"/>
    <col min="1028" max="1031" width="11.109375" bestFit="1" customWidth="1"/>
    <col min="1281" max="1281" width="60.33203125" bestFit="1" customWidth="1"/>
    <col min="1283" max="1283" width="10.109375" bestFit="1" customWidth="1"/>
    <col min="1284" max="1287" width="11.109375" bestFit="1" customWidth="1"/>
    <col min="1537" max="1537" width="60.33203125" bestFit="1" customWidth="1"/>
    <col min="1539" max="1539" width="10.109375" bestFit="1" customWidth="1"/>
    <col min="1540" max="1543" width="11.109375" bestFit="1" customWidth="1"/>
    <col min="1793" max="1793" width="60.33203125" bestFit="1" customWidth="1"/>
    <col min="1795" max="1795" width="10.109375" bestFit="1" customWidth="1"/>
    <col min="1796" max="1799" width="11.109375" bestFit="1" customWidth="1"/>
    <col min="2049" max="2049" width="60.33203125" bestFit="1" customWidth="1"/>
    <col min="2051" max="2051" width="10.109375" bestFit="1" customWidth="1"/>
    <col min="2052" max="2055" width="11.109375" bestFit="1" customWidth="1"/>
    <col min="2305" max="2305" width="60.33203125" bestFit="1" customWidth="1"/>
    <col min="2307" max="2307" width="10.109375" bestFit="1" customWidth="1"/>
    <col min="2308" max="2311" width="11.109375" bestFit="1" customWidth="1"/>
    <col min="2561" max="2561" width="60.33203125" bestFit="1" customWidth="1"/>
    <col min="2563" max="2563" width="10.109375" bestFit="1" customWidth="1"/>
    <col min="2564" max="2567" width="11.109375" bestFit="1" customWidth="1"/>
    <col min="2817" max="2817" width="60.33203125" bestFit="1" customWidth="1"/>
    <col min="2819" max="2819" width="10.109375" bestFit="1" customWidth="1"/>
    <col min="2820" max="2823" width="11.109375" bestFit="1" customWidth="1"/>
    <col min="3073" max="3073" width="60.33203125" bestFit="1" customWidth="1"/>
    <col min="3075" max="3075" width="10.109375" bestFit="1" customWidth="1"/>
    <col min="3076" max="3079" width="11.109375" bestFit="1" customWidth="1"/>
    <col min="3329" max="3329" width="60.33203125" bestFit="1" customWidth="1"/>
    <col min="3331" max="3331" width="10.109375" bestFit="1" customWidth="1"/>
    <col min="3332" max="3335" width="11.109375" bestFit="1" customWidth="1"/>
    <col min="3585" max="3585" width="60.33203125" bestFit="1" customWidth="1"/>
    <col min="3587" max="3587" width="10.109375" bestFit="1" customWidth="1"/>
    <col min="3588" max="3591" width="11.109375" bestFit="1" customWidth="1"/>
    <col min="3841" max="3841" width="60.33203125" bestFit="1" customWidth="1"/>
    <col min="3843" max="3843" width="10.109375" bestFit="1" customWidth="1"/>
    <col min="3844" max="3847" width="11.109375" bestFit="1" customWidth="1"/>
    <col min="4097" max="4097" width="60.33203125" bestFit="1" customWidth="1"/>
    <col min="4099" max="4099" width="10.109375" bestFit="1" customWidth="1"/>
    <col min="4100" max="4103" width="11.109375" bestFit="1" customWidth="1"/>
    <col min="4353" max="4353" width="60.33203125" bestFit="1" customWidth="1"/>
    <col min="4355" max="4355" width="10.109375" bestFit="1" customWidth="1"/>
    <col min="4356" max="4359" width="11.109375" bestFit="1" customWidth="1"/>
    <col min="4609" max="4609" width="60.33203125" bestFit="1" customWidth="1"/>
    <col min="4611" max="4611" width="10.109375" bestFit="1" customWidth="1"/>
    <col min="4612" max="4615" width="11.109375" bestFit="1" customWidth="1"/>
    <col min="4865" max="4865" width="60.33203125" bestFit="1" customWidth="1"/>
    <col min="4867" max="4867" width="10.109375" bestFit="1" customWidth="1"/>
    <col min="4868" max="4871" width="11.109375" bestFit="1" customWidth="1"/>
    <col min="5121" max="5121" width="60.33203125" bestFit="1" customWidth="1"/>
    <col min="5123" max="5123" width="10.109375" bestFit="1" customWidth="1"/>
    <col min="5124" max="5127" width="11.109375" bestFit="1" customWidth="1"/>
    <col min="5377" max="5377" width="60.33203125" bestFit="1" customWidth="1"/>
    <col min="5379" max="5379" width="10.109375" bestFit="1" customWidth="1"/>
    <col min="5380" max="5383" width="11.109375" bestFit="1" customWidth="1"/>
    <col min="5633" max="5633" width="60.33203125" bestFit="1" customWidth="1"/>
    <col min="5635" max="5635" width="10.109375" bestFit="1" customWidth="1"/>
    <col min="5636" max="5639" width="11.109375" bestFit="1" customWidth="1"/>
    <col min="5889" max="5889" width="60.33203125" bestFit="1" customWidth="1"/>
    <col min="5891" max="5891" width="10.109375" bestFit="1" customWidth="1"/>
    <col min="5892" max="5895" width="11.109375" bestFit="1" customWidth="1"/>
    <col min="6145" max="6145" width="60.33203125" bestFit="1" customWidth="1"/>
    <col min="6147" max="6147" width="10.109375" bestFit="1" customWidth="1"/>
    <col min="6148" max="6151" width="11.109375" bestFit="1" customWidth="1"/>
    <col min="6401" max="6401" width="60.33203125" bestFit="1" customWidth="1"/>
    <col min="6403" max="6403" width="10.109375" bestFit="1" customWidth="1"/>
    <col min="6404" max="6407" width="11.109375" bestFit="1" customWidth="1"/>
    <col min="6657" max="6657" width="60.33203125" bestFit="1" customWidth="1"/>
    <col min="6659" max="6659" width="10.109375" bestFit="1" customWidth="1"/>
    <col min="6660" max="6663" width="11.109375" bestFit="1" customWidth="1"/>
    <col min="6913" max="6913" width="60.33203125" bestFit="1" customWidth="1"/>
    <col min="6915" max="6915" width="10.109375" bestFit="1" customWidth="1"/>
    <col min="6916" max="6919" width="11.109375" bestFit="1" customWidth="1"/>
    <col min="7169" max="7169" width="60.33203125" bestFit="1" customWidth="1"/>
    <col min="7171" max="7171" width="10.109375" bestFit="1" customWidth="1"/>
    <col min="7172" max="7175" width="11.109375" bestFit="1" customWidth="1"/>
    <col min="7425" max="7425" width="60.33203125" bestFit="1" customWidth="1"/>
    <col min="7427" max="7427" width="10.109375" bestFit="1" customWidth="1"/>
    <col min="7428" max="7431" width="11.109375" bestFit="1" customWidth="1"/>
    <col min="7681" max="7681" width="60.33203125" bestFit="1" customWidth="1"/>
    <col min="7683" max="7683" width="10.109375" bestFit="1" customWidth="1"/>
    <col min="7684" max="7687" width="11.109375" bestFit="1" customWidth="1"/>
    <col min="7937" max="7937" width="60.33203125" bestFit="1" customWidth="1"/>
    <col min="7939" max="7939" width="10.109375" bestFit="1" customWidth="1"/>
    <col min="7940" max="7943" width="11.109375" bestFit="1" customWidth="1"/>
    <col min="8193" max="8193" width="60.33203125" bestFit="1" customWidth="1"/>
    <col min="8195" max="8195" width="10.109375" bestFit="1" customWidth="1"/>
    <col min="8196" max="8199" width="11.109375" bestFit="1" customWidth="1"/>
    <col min="8449" max="8449" width="60.33203125" bestFit="1" customWidth="1"/>
    <col min="8451" max="8451" width="10.109375" bestFit="1" customWidth="1"/>
    <col min="8452" max="8455" width="11.109375" bestFit="1" customWidth="1"/>
    <col min="8705" max="8705" width="60.33203125" bestFit="1" customWidth="1"/>
    <col min="8707" max="8707" width="10.109375" bestFit="1" customWidth="1"/>
    <col min="8708" max="8711" width="11.109375" bestFit="1" customWidth="1"/>
    <col min="8961" max="8961" width="60.33203125" bestFit="1" customWidth="1"/>
    <col min="8963" max="8963" width="10.109375" bestFit="1" customWidth="1"/>
    <col min="8964" max="8967" width="11.109375" bestFit="1" customWidth="1"/>
    <col min="9217" max="9217" width="60.33203125" bestFit="1" customWidth="1"/>
    <col min="9219" max="9219" width="10.109375" bestFit="1" customWidth="1"/>
    <col min="9220" max="9223" width="11.109375" bestFit="1" customWidth="1"/>
    <col min="9473" max="9473" width="60.33203125" bestFit="1" customWidth="1"/>
    <col min="9475" max="9475" width="10.109375" bestFit="1" customWidth="1"/>
    <col min="9476" max="9479" width="11.109375" bestFit="1" customWidth="1"/>
    <col min="9729" max="9729" width="60.33203125" bestFit="1" customWidth="1"/>
    <col min="9731" max="9731" width="10.109375" bestFit="1" customWidth="1"/>
    <col min="9732" max="9735" width="11.109375" bestFit="1" customWidth="1"/>
    <col min="9985" max="9985" width="60.33203125" bestFit="1" customWidth="1"/>
    <col min="9987" max="9987" width="10.109375" bestFit="1" customWidth="1"/>
    <col min="9988" max="9991" width="11.109375" bestFit="1" customWidth="1"/>
    <col min="10241" max="10241" width="60.33203125" bestFit="1" customWidth="1"/>
    <col min="10243" max="10243" width="10.109375" bestFit="1" customWidth="1"/>
    <col min="10244" max="10247" width="11.109375" bestFit="1" customWidth="1"/>
    <col min="10497" max="10497" width="60.33203125" bestFit="1" customWidth="1"/>
    <col min="10499" max="10499" width="10.109375" bestFit="1" customWidth="1"/>
    <col min="10500" max="10503" width="11.109375" bestFit="1" customWidth="1"/>
    <col min="10753" max="10753" width="60.33203125" bestFit="1" customWidth="1"/>
    <col min="10755" max="10755" width="10.109375" bestFit="1" customWidth="1"/>
    <col min="10756" max="10759" width="11.109375" bestFit="1" customWidth="1"/>
    <col min="11009" max="11009" width="60.33203125" bestFit="1" customWidth="1"/>
    <col min="11011" max="11011" width="10.109375" bestFit="1" customWidth="1"/>
    <col min="11012" max="11015" width="11.109375" bestFit="1" customWidth="1"/>
    <col min="11265" max="11265" width="60.33203125" bestFit="1" customWidth="1"/>
    <col min="11267" max="11267" width="10.109375" bestFit="1" customWidth="1"/>
    <col min="11268" max="11271" width="11.109375" bestFit="1" customWidth="1"/>
    <col min="11521" max="11521" width="60.33203125" bestFit="1" customWidth="1"/>
    <col min="11523" max="11523" width="10.109375" bestFit="1" customWidth="1"/>
    <col min="11524" max="11527" width="11.109375" bestFit="1" customWidth="1"/>
    <col min="11777" max="11777" width="60.33203125" bestFit="1" customWidth="1"/>
    <col min="11779" max="11779" width="10.109375" bestFit="1" customWidth="1"/>
    <col min="11780" max="11783" width="11.109375" bestFit="1" customWidth="1"/>
    <col min="12033" max="12033" width="60.33203125" bestFit="1" customWidth="1"/>
    <col min="12035" max="12035" width="10.109375" bestFit="1" customWidth="1"/>
    <col min="12036" max="12039" width="11.109375" bestFit="1" customWidth="1"/>
    <col min="12289" max="12289" width="60.33203125" bestFit="1" customWidth="1"/>
    <col min="12291" max="12291" width="10.109375" bestFit="1" customWidth="1"/>
    <col min="12292" max="12295" width="11.109375" bestFit="1" customWidth="1"/>
    <col min="12545" max="12545" width="60.33203125" bestFit="1" customWidth="1"/>
    <col min="12547" max="12547" width="10.109375" bestFit="1" customWidth="1"/>
    <col min="12548" max="12551" width="11.109375" bestFit="1" customWidth="1"/>
    <col min="12801" max="12801" width="60.33203125" bestFit="1" customWidth="1"/>
    <col min="12803" max="12803" width="10.109375" bestFit="1" customWidth="1"/>
    <col min="12804" max="12807" width="11.109375" bestFit="1" customWidth="1"/>
    <col min="13057" max="13057" width="60.33203125" bestFit="1" customWidth="1"/>
    <col min="13059" max="13059" width="10.109375" bestFit="1" customWidth="1"/>
    <col min="13060" max="13063" width="11.109375" bestFit="1" customWidth="1"/>
    <col min="13313" max="13313" width="60.33203125" bestFit="1" customWidth="1"/>
    <col min="13315" max="13315" width="10.109375" bestFit="1" customWidth="1"/>
    <col min="13316" max="13319" width="11.109375" bestFit="1" customWidth="1"/>
    <col min="13569" max="13569" width="60.33203125" bestFit="1" customWidth="1"/>
    <col min="13571" max="13571" width="10.109375" bestFit="1" customWidth="1"/>
    <col min="13572" max="13575" width="11.109375" bestFit="1" customWidth="1"/>
    <col min="13825" max="13825" width="60.33203125" bestFit="1" customWidth="1"/>
    <col min="13827" max="13827" width="10.109375" bestFit="1" customWidth="1"/>
    <col min="13828" max="13831" width="11.109375" bestFit="1" customWidth="1"/>
    <col min="14081" max="14081" width="60.33203125" bestFit="1" customWidth="1"/>
    <col min="14083" max="14083" width="10.109375" bestFit="1" customWidth="1"/>
    <col min="14084" max="14087" width="11.109375" bestFit="1" customWidth="1"/>
    <col min="14337" max="14337" width="60.33203125" bestFit="1" customWidth="1"/>
    <col min="14339" max="14339" width="10.109375" bestFit="1" customWidth="1"/>
    <col min="14340" max="14343" width="11.109375" bestFit="1" customWidth="1"/>
    <col min="14593" max="14593" width="60.33203125" bestFit="1" customWidth="1"/>
    <col min="14595" max="14595" width="10.109375" bestFit="1" customWidth="1"/>
    <col min="14596" max="14599" width="11.109375" bestFit="1" customWidth="1"/>
    <col min="14849" max="14849" width="60.33203125" bestFit="1" customWidth="1"/>
    <col min="14851" max="14851" width="10.109375" bestFit="1" customWidth="1"/>
    <col min="14852" max="14855" width="11.109375" bestFit="1" customWidth="1"/>
    <col min="15105" max="15105" width="60.33203125" bestFit="1" customWidth="1"/>
    <col min="15107" max="15107" width="10.109375" bestFit="1" customWidth="1"/>
    <col min="15108" max="15111" width="11.109375" bestFit="1" customWidth="1"/>
    <col min="15361" max="15361" width="60.33203125" bestFit="1" customWidth="1"/>
    <col min="15363" max="15363" width="10.109375" bestFit="1" customWidth="1"/>
    <col min="15364" max="15367" width="11.109375" bestFit="1" customWidth="1"/>
    <col min="15617" max="15617" width="60.33203125" bestFit="1" customWidth="1"/>
    <col min="15619" max="15619" width="10.109375" bestFit="1" customWidth="1"/>
    <col min="15620" max="15623" width="11.109375" bestFit="1" customWidth="1"/>
    <col min="15873" max="15873" width="60.33203125" bestFit="1" customWidth="1"/>
    <col min="15875" max="15875" width="10.109375" bestFit="1" customWidth="1"/>
    <col min="15876" max="15879" width="11.109375" bestFit="1" customWidth="1"/>
    <col min="16129" max="16129" width="60.33203125" bestFit="1" customWidth="1"/>
    <col min="16131" max="16131" width="10.109375" bestFit="1" customWidth="1"/>
    <col min="16132" max="16135" width="11.109375" bestFit="1" customWidth="1"/>
  </cols>
  <sheetData>
    <row r="1" spans="1:9" x14ac:dyDescent="0.3">
      <c r="A1" t="s">
        <v>95</v>
      </c>
    </row>
    <row r="2" spans="1:9" x14ac:dyDescent="0.3">
      <c r="A2" t="s">
        <v>96</v>
      </c>
      <c r="B2" t="s">
        <v>97</v>
      </c>
      <c r="C2" t="s">
        <v>98</v>
      </c>
    </row>
    <row r="3" spans="1:9" x14ac:dyDescent="0.3">
      <c r="C3" s="13">
        <v>1970</v>
      </c>
      <c r="D3" s="13">
        <v>1980</v>
      </c>
      <c r="E3" s="13">
        <v>1991</v>
      </c>
      <c r="F3" s="13">
        <v>2000</v>
      </c>
      <c r="G3" s="13">
        <v>2010</v>
      </c>
    </row>
    <row r="4" spans="1:9" x14ac:dyDescent="0.3">
      <c r="A4" t="s">
        <v>99</v>
      </c>
      <c r="B4" t="s">
        <v>5</v>
      </c>
      <c r="C4" s="13">
        <v>93134846</v>
      </c>
      <c r="D4" s="13">
        <v>119011052</v>
      </c>
      <c r="E4" s="13">
        <v>146825475</v>
      </c>
      <c r="F4" s="13">
        <v>169799170</v>
      </c>
      <c r="G4" s="13">
        <v>190755799</v>
      </c>
      <c r="H4">
        <v>1.63</v>
      </c>
      <c r="I4">
        <v>1.17</v>
      </c>
    </row>
    <row r="5" spans="1:9" x14ac:dyDescent="0.3">
      <c r="A5" t="s">
        <v>99</v>
      </c>
      <c r="B5" t="s">
        <v>93</v>
      </c>
      <c r="C5" s="13">
        <v>52097260</v>
      </c>
      <c r="D5" s="13">
        <v>80437327</v>
      </c>
      <c r="E5" s="13">
        <v>110990990</v>
      </c>
      <c r="F5" s="13">
        <v>137953959</v>
      </c>
      <c r="G5" s="13">
        <v>160925804</v>
      </c>
      <c r="H5">
        <v>2.4500000000000002</v>
      </c>
      <c r="I5">
        <v>1.55</v>
      </c>
    </row>
    <row r="6" spans="1:9" x14ac:dyDescent="0.3">
      <c r="A6" t="s">
        <v>99</v>
      </c>
      <c r="B6" t="s">
        <v>4</v>
      </c>
      <c r="C6" s="13">
        <v>41037586</v>
      </c>
      <c r="D6" s="13">
        <v>38573725</v>
      </c>
      <c r="E6" s="13">
        <v>35834485</v>
      </c>
      <c r="F6" s="13">
        <v>31845211</v>
      </c>
      <c r="G6" s="13">
        <v>29829995</v>
      </c>
      <c r="H6">
        <v>-1.3</v>
      </c>
      <c r="I6">
        <v>-0.65</v>
      </c>
    </row>
    <row r="7" spans="1:9" x14ac:dyDescent="0.3">
      <c r="A7" t="s">
        <v>100</v>
      </c>
      <c r="B7" t="s">
        <v>5</v>
      </c>
      <c r="C7" t="s">
        <v>101</v>
      </c>
      <c r="D7" t="s">
        <v>101</v>
      </c>
      <c r="E7" s="13">
        <v>3400</v>
      </c>
      <c r="F7" s="13">
        <v>3660</v>
      </c>
      <c r="G7" s="13">
        <v>3555</v>
      </c>
      <c r="H7">
        <v>0.82</v>
      </c>
      <c r="I7">
        <v>-0.28999999999999998</v>
      </c>
    </row>
    <row r="8" spans="1:9" x14ac:dyDescent="0.3">
      <c r="A8" t="s">
        <v>100</v>
      </c>
      <c r="B8" t="s">
        <v>93</v>
      </c>
      <c r="C8" t="s">
        <v>101</v>
      </c>
      <c r="D8" t="s">
        <v>101</v>
      </c>
      <c r="E8" s="13">
        <v>2228</v>
      </c>
      <c r="F8" s="13">
        <v>2717</v>
      </c>
      <c r="G8" s="13">
        <v>2675</v>
      </c>
      <c r="H8">
        <v>2.23</v>
      </c>
      <c r="I8">
        <v>-0.16</v>
      </c>
    </row>
    <row r="9" spans="1:9" x14ac:dyDescent="0.3">
      <c r="A9" t="s">
        <v>100</v>
      </c>
      <c r="B9" t="s">
        <v>4</v>
      </c>
      <c r="C9" t="s">
        <v>101</v>
      </c>
      <c r="D9" t="s">
        <v>101</v>
      </c>
      <c r="E9" s="13">
        <v>1172</v>
      </c>
      <c r="F9">
        <v>943</v>
      </c>
      <c r="G9">
        <v>880</v>
      </c>
      <c r="H9">
        <v>-2.39</v>
      </c>
      <c r="I9">
        <v>-0.69</v>
      </c>
    </row>
    <row r="10" spans="1:9" x14ac:dyDescent="0.3">
      <c r="A10" t="s">
        <v>102</v>
      </c>
      <c r="B10" t="s">
        <v>5</v>
      </c>
      <c r="C10" t="s">
        <v>101</v>
      </c>
      <c r="D10" t="s">
        <v>101</v>
      </c>
      <c r="E10" t="s">
        <v>101</v>
      </c>
      <c r="F10" t="s">
        <v>101</v>
      </c>
      <c r="G10" s="13">
        <v>3275</v>
      </c>
      <c r="H10" t="e">
        <v>#VALUE!</v>
      </c>
      <c r="I10" t="e">
        <v>#VALUE!</v>
      </c>
    </row>
    <row r="11" spans="1:9" x14ac:dyDescent="0.3">
      <c r="A11" t="s">
        <v>102</v>
      </c>
      <c r="B11" t="s">
        <v>93</v>
      </c>
      <c r="C11" t="s">
        <v>101</v>
      </c>
      <c r="D11" t="s">
        <v>101</v>
      </c>
      <c r="E11" t="s">
        <v>101</v>
      </c>
      <c r="F11" t="s">
        <v>101</v>
      </c>
      <c r="G11" s="13">
        <v>1094</v>
      </c>
      <c r="H11" t="e">
        <v>#VALUE!</v>
      </c>
      <c r="I11" t="e">
        <v>#VALUE!</v>
      </c>
    </row>
    <row r="12" spans="1:9" x14ac:dyDescent="0.3">
      <c r="A12" t="s">
        <v>102</v>
      </c>
      <c r="B12" t="s">
        <v>4</v>
      </c>
      <c r="C12" t="s">
        <v>101</v>
      </c>
      <c r="D12" t="s">
        <v>101</v>
      </c>
      <c r="E12" t="s">
        <v>101</v>
      </c>
      <c r="F12" t="s">
        <v>101</v>
      </c>
      <c r="G12" s="13">
        <v>2181</v>
      </c>
      <c r="H12" t="e">
        <v>#VALUE!</v>
      </c>
      <c r="I12" t="e">
        <v>#VALUE!</v>
      </c>
    </row>
    <row r="13" spans="1:9" x14ac:dyDescent="0.3">
      <c r="A13" t="s">
        <v>103</v>
      </c>
      <c r="B13" t="s">
        <v>5</v>
      </c>
      <c r="C13" t="s">
        <v>101</v>
      </c>
      <c r="D13" t="s">
        <v>101</v>
      </c>
      <c r="E13" s="13">
        <v>4085</v>
      </c>
      <c r="F13" s="13">
        <v>4385</v>
      </c>
      <c r="G13" s="13">
        <v>4513</v>
      </c>
      <c r="H13">
        <v>0.79</v>
      </c>
      <c r="I13">
        <v>0.28999999999999998</v>
      </c>
    </row>
    <row r="14" spans="1:9" x14ac:dyDescent="0.3">
      <c r="A14" t="s">
        <v>103</v>
      </c>
      <c r="B14" t="s">
        <v>93</v>
      </c>
      <c r="C14" t="s">
        <v>101</v>
      </c>
      <c r="D14" t="s">
        <v>101</v>
      </c>
      <c r="E14" s="13">
        <v>3023</v>
      </c>
      <c r="F14" s="13">
        <v>3508</v>
      </c>
      <c r="G14" s="13">
        <v>3968</v>
      </c>
      <c r="H14">
        <v>1.67</v>
      </c>
      <c r="I14">
        <v>1.24</v>
      </c>
    </row>
    <row r="15" spans="1:9" x14ac:dyDescent="0.3">
      <c r="A15" t="s">
        <v>103</v>
      </c>
      <c r="B15" t="s">
        <v>4</v>
      </c>
      <c r="C15" t="s">
        <v>101</v>
      </c>
      <c r="D15" t="s">
        <v>101</v>
      </c>
      <c r="E15" s="13">
        <v>1062</v>
      </c>
      <c r="F15">
        <v>877</v>
      </c>
      <c r="G15">
        <v>545</v>
      </c>
      <c r="H15">
        <v>-2.1</v>
      </c>
      <c r="I15">
        <v>-4.6500000000000004</v>
      </c>
    </row>
    <row r="16" spans="1:9" x14ac:dyDescent="0.3">
      <c r="A16" t="s">
        <v>104</v>
      </c>
      <c r="B16" t="s">
        <v>5</v>
      </c>
      <c r="C16" t="s">
        <v>101</v>
      </c>
      <c r="D16" t="s">
        <v>101</v>
      </c>
      <c r="E16" s="13">
        <v>8678</v>
      </c>
      <c r="F16" s="13">
        <v>8277</v>
      </c>
      <c r="G16" s="13">
        <v>8575</v>
      </c>
      <c r="H16">
        <v>-0.52</v>
      </c>
      <c r="I16">
        <v>0.35</v>
      </c>
    </row>
    <row r="17" spans="1:9" x14ac:dyDescent="0.3">
      <c r="A17" t="s">
        <v>104</v>
      </c>
      <c r="B17" t="s">
        <v>93</v>
      </c>
      <c r="C17" t="s">
        <v>101</v>
      </c>
      <c r="D17" t="s">
        <v>101</v>
      </c>
      <c r="E17" s="13">
        <v>5912</v>
      </c>
      <c r="F17" s="13">
        <v>6157</v>
      </c>
      <c r="G17" s="13">
        <v>6461</v>
      </c>
      <c r="H17">
        <v>0.45</v>
      </c>
      <c r="I17">
        <v>0.48</v>
      </c>
    </row>
    <row r="18" spans="1:9" x14ac:dyDescent="0.3">
      <c r="A18" t="s">
        <v>104</v>
      </c>
      <c r="B18" t="s">
        <v>4</v>
      </c>
      <c r="C18" t="s">
        <v>101</v>
      </c>
      <c r="D18" t="s">
        <v>101</v>
      </c>
      <c r="E18" s="13">
        <v>2766</v>
      </c>
      <c r="F18" s="13">
        <v>2120</v>
      </c>
      <c r="G18" s="13">
        <v>2114</v>
      </c>
      <c r="H18">
        <v>-2.91</v>
      </c>
      <c r="I18">
        <v>-0.03</v>
      </c>
    </row>
    <row r="19" spans="1:9" x14ac:dyDescent="0.3">
      <c r="A19" t="s">
        <v>105</v>
      </c>
      <c r="B19" t="s">
        <v>5</v>
      </c>
      <c r="C19" t="s">
        <v>101</v>
      </c>
      <c r="D19" t="s">
        <v>101</v>
      </c>
      <c r="E19" s="13">
        <v>7376</v>
      </c>
      <c r="F19" s="13">
        <v>7766</v>
      </c>
      <c r="G19" s="13">
        <v>7882</v>
      </c>
      <c r="H19">
        <v>0.56999999999999995</v>
      </c>
      <c r="I19">
        <v>0.15</v>
      </c>
    </row>
    <row r="20" spans="1:9" x14ac:dyDescent="0.3">
      <c r="A20" t="s">
        <v>105</v>
      </c>
      <c r="B20" t="s">
        <v>93</v>
      </c>
      <c r="C20" t="s">
        <v>101</v>
      </c>
      <c r="D20" t="s">
        <v>101</v>
      </c>
      <c r="E20" s="13">
        <v>4103</v>
      </c>
      <c r="F20" s="13">
        <v>4704</v>
      </c>
      <c r="G20" s="13">
        <v>4843</v>
      </c>
      <c r="H20">
        <v>1.53</v>
      </c>
      <c r="I20">
        <v>0.28999999999999998</v>
      </c>
    </row>
    <row r="21" spans="1:9" x14ac:dyDescent="0.3">
      <c r="A21" t="s">
        <v>105</v>
      </c>
      <c r="B21" t="s">
        <v>4</v>
      </c>
      <c r="C21" t="s">
        <v>101</v>
      </c>
      <c r="D21" t="s">
        <v>101</v>
      </c>
      <c r="E21" s="13">
        <v>3273</v>
      </c>
      <c r="F21" s="13">
        <v>3062</v>
      </c>
      <c r="G21" s="13">
        <v>3039</v>
      </c>
      <c r="H21">
        <v>-0.74</v>
      </c>
      <c r="I21">
        <v>-0.08</v>
      </c>
    </row>
    <row r="22" spans="1:9" x14ac:dyDescent="0.3">
      <c r="A22" t="s">
        <v>106</v>
      </c>
      <c r="B22" t="s">
        <v>5</v>
      </c>
      <c r="C22" t="s">
        <v>101</v>
      </c>
      <c r="D22" t="s">
        <v>101</v>
      </c>
      <c r="E22" s="13">
        <v>18000</v>
      </c>
      <c r="F22" s="13">
        <v>20339</v>
      </c>
      <c r="G22" s="13">
        <v>19089</v>
      </c>
      <c r="H22">
        <v>1.37</v>
      </c>
      <c r="I22">
        <v>-0.63</v>
      </c>
    </row>
    <row r="23" spans="1:9" x14ac:dyDescent="0.3">
      <c r="A23" t="s">
        <v>106</v>
      </c>
      <c r="B23" t="s">
        <v>93</v>
      </c>
      <c r="C23" t="s">
        <v>101</v>
      </c>
      <c r="D23" t="s">
        <v>101</v>
      </c>
      <c r="E23" s="13">
        <v>8208</v>
      </c>
      <c r="F23" s="13">
        <v>10353</v>
      </c>
      <c r="G23" s="13">
        <v>12669</v>
      </c>
      <c r="H23">
        <v>2.61</v>
      </c>
      <c r="I23">
        <v>2.04</v>
      </c>
    </row>
    <row r="24" spans="1:9" x14ac:dyDescent="0.3">
      <c r="A24" t="s">
        <v>106</v>
      </c>
      <c r="B24" t="s">
        <v>4</v>
      </c>
      <c r="C24" t="s">
        <v>101</v>
      </c>
      <c r="D24" t="s">
        <v>101</v>
      </c>
      <c r="E24" s="13">
        <v>9792</v>
      </c>
      <c r="F24" s="13">
        <v>9986</v>
      </c>
      <c r="G24" s="13">
        <v>6420</v>
      </c>
      <c r="H24">
        <v>0.22</v>
      </c>
      <c r="I24">
        <v>-4.32</v>
      </c>
    </row>
    <row r="25" spans="1:9" ht="409.6" x14ac:dyDescent="0.3">
      <c r="A25" s="16" t="s">
        <v>107</v>
      </c>
    </row>
    <row r="26" spans="1:9" x14ac:dyDescent="0.3">
      <c r="A26" t="s">
        <v>108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55"/>
  <sheetViews>
    <sheetView topLeftCell="H1" workbookViewId="0">
      <selection activeCell="AB15" sqref="AB15:AB18"/>
    </sheetView>
  </sheetViews>
  <sheetFormatPr defaultRowHeight="14.4" x14ac:dyDescent="0.3"/>
  <cols>
    <col min="2" max="2" width="10.88671875" customWidth="1"/>
    <col min="6" max="7" width="9.77734375" bestFit="1" customWidth="1"/>
    <col min="9" max="9" width="3.5546875" style="72" customWidth="1"/>
    <col min="11" max="11" width="9.33203125" bestFit="1" customWidth="1"/>
    <col min="12" max="12" width="9" bestFit="1" customWidth="1"/>
    <col min="13" max="13" width="9.33203125" bestFit="1" customWidth="1"/>
    <col min="14" max="14" width="4.44140625" customWidth="1"/>
    <col min="16" max="16" width="9.33203125" bestFit="1" customWidth="1"/>
    <col min="17" max="17" width="9" bestFit="1" customWidth="1"/>
    <col min="18" max="18" width="9.33203125" bestFit="1" customWidth="1"/>
    <col min="21" max="21" width="8.88671875" bestFit="1" customWidth="1"/>
    <col min="34" max="34" width="8.88671875" bestFit="1" customWidth="1"/>
    <col min="38" max="38" width="4.88671875" customWidth="1"/>
  </cols>
  <sheetData>
    <row r="2" spans="2:43" x14ac:dyDescent="0.3">
      <c r="B2" s="147" t="s">
        <v>209</v>
      </c>
      <c r="C2" s="147"/>
      <c r="D2" s="147"/>
      <c r="E2" s="147"/>
      <c r="F2" s="147"/>
      <c r="G2" s="147"/>
      <c r="H2" s="147"/>
      <c r="I2" s="69"/>
      <c r="J2" s="147" t="s">
        <v>210</v>
      </c>
      <c r="K2" s="147"/>
      <c r="L2" s="147"/>
      <c r="M2" s="147"/>
      <c r="N2" s="147"/>
      <c r="O2" s="147"/>
      <c r="P2" s="147"/>
      <c r="Q2" s="147"/>
      <c r="R2" s="147"/>
      <c r="T2" s="147" t="s">
        <v>211</v>
      </c>
      <c r="U2" s="147"/>
      <c r="V2" s="147"/>
      <c r="W2" s="147"/>
      <c r="X2" s="147"/>
      <c r="Y2" s="147"/>
      <c r="Z2" s="147"/>
      <c r="AA2" s="147"/>
      <c r="AB2" s="147"/>
      <c r="AC2" s="147"/>
      <c r="AD2" s="147"/>
      <c r="AG2" s="153" t="s">
        <v>211</v>
      </c>
      <c r="AH2" s="153"/>
      <c r="AI2" s="153"/>
      <c r="AJ2" s="153"/>
      <c r="AK2" s="153"/>
      <c r="AL2" s="153"/>
      <c r="AM2" s="153"/>
      <c r="AN2" s="153"/>
      <c r="AO2" s="153"/>
      <c r="AP2" s="153"/>
      <c r="AQ2" s="153"/>
    </row>
    <row r="3" spans="2:43" x14ac:dyDescent="0.3">
      <c r="B3" s="150" t="s">
        <v>92</v>
      </c>
      <c r="C3" s="151" t="s">
        <v>94</v>
      </c>
      <c r="D3" s="151"/>
      <c r="E3" s="151"/>
      <c r="F3" s="151" t="s">
        <v>111</v>
      </c>
      <c r="G3" s="151"/>
      <c r="H3" s="152"/>
      <c r="I3" s="70"/>
      <c r="J3" s="150" t="s">
        <v>91</v>
      </c>
      <c r="K3" s="151" t="s">
        <v>112</v>
      </c>
      <c r="L3" s="151"/>
      <c r="M3" s="151"/>
      <c r="N3" s="95"/>
      <c r="O3" s="150" t="s">
        <v>91</v>
      </c>
      <c r="P3" s="151" t="s">
        <v>112</v>
      </c>
      <c r="Q3" s="151"/>
      <c r="R3" s="151"/>
      <c r="T3" s="147" t="s">
        <v>119</v>
      </c>
      <c r="U3" s="147"/>
      <c r="V3" s="147"/>
      <c r="W3" s="147"/>
      <c r="X3" s="147"/>
      <c r="Y3" s="88"/>
      <c r="Z3" s="147" t="s">
        <v>161</v>
      </c>
      <c r="AA3" s="147"/>
      <c r="AB3" s="147"/>
      <c r="AC3" s="147"/>
      <c r="AD3" s="147"/>
      <c r="AG3" s="153" t="s">
        <v>119</v>
      </c>
      <c r="AH3" s="153"/>
      <c r="AI3" s="153"/>
      <c r="AJ3" s="153"/>
      <c r="AK3" s="153"/>
      <c r="AM3" s="153" t="s">
        <v>161</v>
      </c>
      <c r="AN3" s="153"/>
      <c r="AO3" s="153"/>
      <c r="AP3" s="153"/>
      <c r="AQ3" s="153"/>
    </row>
    <row r="4" spans="2:43" x14ac:dyDescent="0.3">
      <c r="B4" s="150"/>
      <c r="C4" s="93">
        <v>1991</v>
      </c>
      <c r="D4" s="93">
        <v>2000</v>
      </c>
      <c r="E4" s="93">
        <v>2010</v>
      </c>
      <c r="F4" s="93" t="s">
        <v>109</v>
      </c>
      <c r="G4" s="93" t="s">
        <v>110</v>
      </c>
      <c r="H4" s="94" t="s">
        <v>113</v>
      </c>
      <c r="I4" s="71"/>
      <c r="J4" s="150"/>
      <c r="K4" s="96" t="s">
        <v>93</v>
      </c>
      <c r="L4" s="96" t="s">
        <v>4</v>
      </c>
      <c r="M4" s="96" t="s">
        <v>5</v>
      </c>
      <c r="N4" s="95"/>
      <c r="O4" s="150"/>
      <c r="P4" s="96" t="s">
        <v>93</v>
      </c>
      <c r="Q4" s="96" t="s">
        <v>4</v>
      </c>
      <c r="R4" s="96" t="s">
        <v>5</v>
      </c>
      <c r="T4" s="147" t="s">
        <v>117</v>
      </c>
      <c r="U4" s="147"/>
      <c r="V4" s="147"/>
      <c r="W4" s="147"/>
      <c r="X4" s="147"/>
      <c r="Y4" s="88"/>
      <c r="Z4" s="147" t="s">
        <v>117</v>
      </c>
      <c r="AA4" s="147"/>
      <c r="AB4" s="147"/>
      <c r="AC4" s="147"/>
      <c r="AD4" s="147"/>
      <c r="AG4" s="153" t="s">
        <v>117</v>
      </c>
      <c r="AH4" s="153"/>
      <c r="AI4" s="153"/>
      <c r="AJ4" s="153"/>
      <c r="AK4" s="153"/>
      <c r="AM4" s="153" t="s">
        <v>117</v>
      </c>
      <c r="AN4" s="153"/>
      <c r="AO4" s="153"/>
      <c r="AP4" s="153"/>
      <c r="AQ4" s="153"/>
    </row>
    <row r="5" spans="2:43" x14ac:dyDescent="0.3">
      <c r="B5" s="92" t="s">
        <v>93</v>
      </c>
      <c r="C5" s="52">
        <v>2228</v>
      </c>
      <c r="D5" s="52">
        <v>2717</v>
      </c>
      <c r="E5" s="52">
        <v>2675</v>
      </c>
      <c r="F5" s="53">
        <f>((D5/C5)^(1/($D$4-$C$4))-1)*100</f>
        <v>2.2291945597155305</v>
      </c>
      <c r="G5" s="53">
        <f>((E5/D5)^(1/($E$4-$D$4))-1)*100</f>
        <v>-0.15566821211263626</v>
      </c>
      <c r="H5" s="54">
        <f>(F5+G5)/2</f>
        <v>1.0367631738014471</v>
      </c>
      <c r="I5" s="68"/>
      <c r="J5" s="92">
        <v>2010</v>
      </c>
      <c r="K5" s="97">
        <f>E5</f>
        <v>2675</v>
      </c>
      <c r="L5" s="97">
        <f>E6</f>
        <v>880</v>
      </c>
      <c r="M5" s="97">
        <f>SUM(K5:L5)</f>
        <v>3555</v>
      </c>
      <c r="N5" s="98"/>
      <c r="O5" s="92">
        <f>J19+1</f>
        <v>2025</v>
      </c>
      <c r="P5" s="97">
        <f>K21*(1+$H$5/100)</f>
        <v>3187.6747735420031</v>
      </c>
      <c r="Q5" s="97">
        <f>L21*(1+$H$6/100)</f>
        <v>957.86812618851354</v>
      </c>
      <c r="R5" s="97">
        <f>P5+Q5</f>
        <v>4145.5428997305171</v>
      </c>
      <c r="T5" s="148" t="s">
        <v>91</v>
      </c>
      <c r="U5" s="149" t="s">
        <v>92</v>
      </c>
      <c r="V5" s="149"/>
      <c r="W5" s="149"/>
      <c r="X5" s="149"/>
      <c r="Y5" s="88"/>
      <c r="Z5" s="148" t="s">
        <v>91</v>
      </c>
      <c r="AA5" s="149" t="s">
        <v>92</v>
      </c>
      <c r="AB5" s="149"/>
      <c r="AC5" s="149"/>
      <c r="AD5" s="149"/>
      <c r="AG5" s="154" t="s">
        <v>91</v>
      </c>
      <c r="AH5" s="155" t="s">
        <v>92</v>
      </c>
      <c r="AI5" s="155"/>
      <c r="AJ5" s="155"/>
      <c r="AK5" s="155"/>
      <c r="AM5" s="154" t="s">
        <v>91</v>
      </c>
      <c r="AN5" s="155" t="s">
        <v>92</v>
      </c>
      <c r="AO5" s="155"/>
      <c r="AP5" s="155"/>
      <c r="AQ5" s="155"/>
    </row>
    <row r="6" spans="2:43" x14ac:dyDescent="0.3">
      <c r="B6" s="92" t="s">
        <v>4</v>
      </c>
      <c r="C6" s="52">
        <v>1172</v>
      </c>
      <c r="D6" s="52">
        <v>943</v>
      </c>
      <c r="E6" s="52">
        <v>880</v>
      </c>
      <c r="F6" s="53">
        <f t="shared" ref="F6:F7" si="0">((D6/C6)^(1/($D$4-$C$4))-1)*100</f>
        <v>-2.3866219662971089</v>
      </c>
      <c r="G6" s="53">
        <f t="shared" ref="G6:G7" si="1">((E6/D6)^(1/($E$4-$D$4))-1)*100</f>
        <v>-0.68905877938353344</v>
      </c>
      <c r="H6" s="54">
        <v>0.5</v>
      </c>
      <c r="I6" s="68"/>
      <c r="J6" s="92">
        <f>J5+1</f>
        <v>2011</v>
      </c>
      <c r="K6" s="97">
        <f>K5*(1+$H$5/100)</f>
        <v>2702.7334148991886</v>
      </c>
      <c r="L6" s="97">
        <f>(L5*(1+$H$6/100))</f>
        <v>884.39999999999986</v>
      </c>
      <c r="M6" s="97">
        <f>K6+L6</f>
        <v>3587.1334148991882</v>
      </c>
      <c r="N6" s="99"/>
      <c r="O6" s="92">
        <f>O5+1</f>
        <v>2026</v>
      </c>
      <c r="P6" s="97">
        <f>P5*(1+$H$5/100)</f>
        <v>3220.7234116946447</v>
      </c>
      <c r="Q6" s="97">
        <f>(Q5*(1+$H$6/100))</f>
        <v>962.65746681945598</v>
      </c>
      <c r="R6" s="97">
        <f>P6+Q6</f>
        <v>4183.3808785141009</v>
      </c>
      <c r="T6" s="148"/>
      <c r="U6" s="102" t="s">
        <v>114</v>
      </c>
      <c r="V6" s="102" t="s">
        <v>115</v>
      </c>
      <c r="W6" s="102" t="s">
        <v>121</v>
      </c>
      <c r="X6" s="102" t="s">
        <v>186</v>
      </c>
      <c r="Y6" s="88"/>
      <c r="Z6" s="148"/>
      <c r="AA6" s="102" t="s">
        <v>114</v>
      </c>
      <c r="AB6" s="102" t="s">
        <v>115</v>
      </c>
      <c r="AC6" s="102" t="s">
        <v>121</v>
      </c>
      <c r="AD6" s="102" t="s">
        <v>186</v>
      </c>
      <c r="AG6" s="154"/>
      <c r="AH6" s="34" t="s">
        <v>114</v>
      </c>
      <c r="AI6" s="34" t="s">
        <v>115</v>
      </c>
      <c r="AJ6" s="34" t="s">
        <v>121</v>
      </c>
      <c r="AK6" s="34" t="s">
        <v>186</v>
      </c>
      <c r="AM6" s="154"/>
      <c r="AN6" s="34" t="s">
        <v>114</v>
      </c>
      <c r="AO6" s="34" t="s">
        <v>115</v>
      </c>
      <c r="AP6" s="34" t="s">
        <v>121</v>
      </c>
      <c r="AQ6" s="34" t="s">
        <v>186</v>
      </c>
    </row>
    <row r="7" spans="2:43" x14ac:dyDescent="0.3">
      <c r="B7" s="92" t="s">
        <v>5</v>
      </c>
      <c r="C7" s="79">
        <f>SUM(C5:C6)</f>
        <v>3400</v>
      </c>
      <c r="D7" s="79">
        <f>SUM(D5:D6)</f>
        <v>3660</v>
      </c>
      <c r="E7" s="79">
        <f>SUM(E5:E6)</f>
        <v>3555</v>
      </c>
      <c r="F7" s="53">
        <f t="shared" si="0"/>
        <v>0.82211334146387038</v>
      </c>
      <c r="G7" s="53">
        <f t="shared" si="1"/>
        <v>-0.2906576120453197</v>
      </c>
      <c r="H7" s="55"/>
      <c r="I7" s="68"/>
      <c r="J7" s="92">
        <f t="shared" ref="J7:J21" si="2">J6+1</f>
        <v>2012</v>
      </c>
      <c r="K7" s="97">
        <f t="shared" ref="K7:K21" si="3">K6*(1+$H$5/100)</f>
        <v>2730.7543596308892</v>
      </c>
      <c r="L7" s="97">
        <f t="shared" ref="L7:L21" si="4">(L6*(1+$H$6/100))</f>
        <v>888.82199999999978</v>
      </c>
      <c r="M7" s="97">
        <f t="shared" ref="M7:M19" si="5">K7+L7</f>
        <v>3619.5763596308889</v>
      </c>
      <c r="N7" s="99"/>
      <c r="O7" s="92">
        <f t="shared" ref="O7:O21" si="6">O6+1</f>
        <v>2027</v>
      </c>
      <c r="P7" s="97">
        <f t="shared" ref="P7:P21" si="7">P6*(1+$H$5/100)</f>
        <v>3254.1146859570958</v>
      </c>
      <c r="Q7" s="97">
        <f t="shared" ref="Q7:Q21" si="8">(Q6*(1+$H$6/100))</f>
        <v>967.47075415355312</v>
      </c>
      <c r="R7" s="97">
        <f t="shared" ref="R7:R18" si="9">P7+Q7</f>
        <v>4221.585440110649</v>
      </c>
      <c r="T7" s="60">
        <f>B14</f>
        <v>2018</v>
      </c>
      <c r="U7" s="61">
        <f>K13*'8.3.1 Metas'!C7/100</f>
        <v>2905.0872721483042</v>
      </c>
      <c r="V7" s="62">
        <f>K13</f>
        <v>2905.0872721483042</v>
      </c>
      <c r="W7" s="63">
        <f>V8*'8.3.1 Metas'!D7/100</f>
        <v>3058.8368034964165</v>
      </c>
      <c r="X7" s="63">
        <f>W7-U7</f>
        <v>153.74953134811221</v>
      </c>
      <c r="Y7" s="88"/>
      <c r="Z7" s="60">
        <f>T7</f>
        <v>2018</v>
      </c>
      <c r="AA7" s="61">
        <f>'8.3.1 Metas'!C24/100*K13</f>
        <v>2905.0872721483042</v>
      </c>
      <c r="AB7" s="63">
        <f>V7</f>
        <v>2905.0872721483042</v>
      </c>
      <c r="AC7" s="63">
        <f>AB8*'8.3.1 Metas'!D24/100</f>
        <v>3058.8368034964165</v>
      </c>
      <c r="AD7" s="63">
        <f>AC7-AA7</f>
        <v>153.74953134811221</v>
      </c>
      <c r="AG7" s="56">
        <f>T7</f>
        <v>2018</v>
      </c>
      <c r="AH7" s="57"/>
      <c r="AI7" s="33"/>
      <c r="AJ7" s="33"/>
      <c r="AK7" s="33"/>
      <c r="AL7" s="64"/>
      <c r="AM7" s="56">
        <f>AG7</f>
        <v>2018</v>
      </c>
      <c r="AN7" s="57"/>
      <c r="AO7" s="33"/>
      <c r="AP7" s="33"/>
      <c r="AQ7" s="33"/>
    </row>
    <row r="8" spans="2:43" x14ac:dyDescent="0.3">
      <c r="B8" s="72"/>
      <c r="C8" s="74"/>
      <c r="D8" s="74"/>
      <c r="E8" s="74"/>
      <c r="F8" s="75"/>
      <c r="G8" s="75"/>
      <c r="H8" s="73"/>
      <c r="J8" s="92">
        <f t="shared" si="2"/>
        <v>2013</v>
      </c>
      <c r="K8" s="97">
        <f t="shared" si="3"/>
        <v>2759.0658151985194</v>
      </c>
      <c r="L8" s="97">
        <f t="shared" si="4"/>
        <v>893.26610999999968</v>
      </c>
      <c r="M8" s="97">
        <f t="shared" si="5"/>
        <v>3652.331925198519</v>
      </c>
      <c r="N8" s="99"/>
      <c r="O8" s="25">
        <f t="shared" si="6"/>
        <v>2028</v>
      </c>
      <c r="P8" s="26">
        <f t="shared" si="7"/>
        <v>3287.8521486543632</v>
      </c>
      <c r="Q8" s="26">
        <f t="shared" si="8"/>
        <v>972.30810792432078</v>
      </c>
      <c r="R8" s="26">
        <f t="shared" si="9"/>
        <v>4260.1602565786843</v>
      </c>
      <c r="T8" s="60">
        <f>T7+5</f>
        <v>2023</v>
      </c>
      <c r="U8" s="63">
        <f>U7+X7</f>
        <v>3058.8368034964165</v>
      </c>
      <c r="V8" s="62">
        <f>K18</f>
        <v>3058.8368034964165</v>
      </c>
      <c r="W8" s="63">
        <f>V9*'8.3.1 Metas'!E7/100</f>
        <v>3287.8521486543632</v>
      </c>
      <c r="X8" s="63">
        <f>W8-U8</f>
        <v>229.01534515794674</v>
      </c>
      <c r="Y8" s="88"/>
      <c r="Z8" s="60">
        <f>Z7+5</f>
        <v>2023</v>
      </c>
      <c r="AA8" s="63">
        <f>AA7+AD7</f>
        <v>3058.8368034964165</v>
      </c>
      <c r="AB8" s="63">
        <f>V8</f>
        <v>3058.8368034964165</v>
      </c>
      <c r="AC8" s="63">
        <f>AB9*'8.3.1 Metas'!E24/100</f>
        <v>3287.8521486543632</v>
      </c>
      <c r="AD8" s="63">
        <f>AC8-AA8</f>
        <v>229.01534515794674</v>
      </c>
      <c r="AG8" s="56">
        <f t="shared" ref="AG8:AG10" si="10">T8</f>
        <v>2023</v>
      </c>
      <c r="AH8" s="33"/>
      <c r="AI8" s="33"/>
      <c r="AJ8" s="33"/>
      <c r="AK8" s="33"/>
      <c r="AL8" s="64"/>
      <c r="AM8" s="56">
        <f>AM7+5</f>
        <v>2023</v>
      </c>
      <c r="AN8" s="33"/>
      <c r="AO8" s="33"/>
      <c r="AP8" s="33"/>
      <c r="AQ8" s="33"/>
    </row>
    <row r="9" spans="2:43" x14ac:dyDescent="0.3">
      <c r="C9" s="14"/>
      <c r="D9" s="14"/>
      <c r="E9" s="14"/>
      <c r="F9" s="14"/>
      <c r="G9" s="14"/>
      <c r="J9" s="92">
        <f t="shared" si="2"/>
        <v>2014</v>
      </c>
      <c r="K9" s="97">
        <f t="shared" si="3"/>
        <v>2787.6707935114418</v>
      </c>
      <c r="L9" s="97">
        <f t="shared" si="4"/>
        <v>897.73244054999964</v>
      </c>
      <c r="M9" s="97">
        <f t="shared" si="5"/>
        <v>3685.4032340614413</v>
      </c>
      <c r="N9" s="99"/>
      <c r="O9" s="92">
        <f t="shared" si="6"/>
        <v>2029</v>
      </c>
      <c r="P9" s="97">
        <f t="shared" si="7"/>
        <v>3321.939388940651</v>
      </c>
      <c r="Q9" s="97">
        <f t="shared" si="8"/>
        <v>977.16964846394228</v>
      </c>
      <c r="R9" s="97">
        <f t="shared" si="9"/>
        <v>4299.1090374045934</v>
      </c>
      <c r="T9" s="60">
        <f>T8+5</f>
        <v>2028</v>
      </c>
      <c r="U9" s="63">
        <f>U8+X8</f>
        <v>3287.8521486543632</v>
      </c>
      <c r="V9" s="62">
        <f>P8</f>
        <v>3287.8521486543632</v>
      </c>
      <c r="W9" s="63">
        <f>V10*'8.3.1 Metas'!F7/100</f>
        <v>3645.0754822008907</v>
      </c>
      <c r="X9" s="63">
        <f>W9-U9</f>
        <v>357.22333354652756</v>
      </c>
      <c r="Y9" s="88"/>
      <c r="Z9" s="60">
        <f>Z8+5</f>
        <v>2028</v>
      </c>
      <c r="AA9" s="63">
        <f>AA8+AD8</f>
        <v>3287.8521486543632</v>
      </c>
      <c r="AB9" s="63">
        <f>V9</f>
        <v>3287.8521486543632</v>
      </c>
      <c r="AC9" s="63">
        <f>AB10*'8.3.1 Metas'!F24/100</f>
        <v>3645.0754822008907</v>
      </c>
      <c r="AD9" s="63">
        <f>AC9-AA9</f>
        <v>357.22333354652756</v>
      </c>
      <c r="AE9" s="19"/>
      <c r="AG9" s="56">
        <f t="shared" si="10"/>
        <v>2028</v>
      </c>
      <c r="AH9" s="33"/>
      <c r="AI9" s="33"/>
      <c r="AJ9" s="33"/>
      <c r="AK9" s="33"/>
      <c r="AL9" s="64"/>
      <c r="AM9" s="56">
        <f>AM8+5</f>
        <v>2028</v>
      </c>
      <c r="AN9" s="33"/>
      <c r="AO9" s="33"/>
      <c r="AP9" s="33"/>
      <c r="AQ9" s="33"/>
    </row>
    <row r="10" spans="2:43" x14ac:dyDescent="0.3">
      <c r="J10" s="92">
        <f t="shared" si="2"/>
        <v>2015</v>
      </c>
      <c r="K10" s="97">
        <f t="shared" si="3"/>
        <v>2816.5723377053869</v>
      </c>
      <c r="L10" s="97">
        <f t="shared" si="4"/>
        <v>902.22110275274952</v>
      </c>
      <c r="M10" s="97">
        <f t="shared" si="5"/>
        <v>3718.7934404581365</v>
      </c>
      <c r="N10" s="99"/>
      <c r="O10" s="92">
        <f t="shared" si="6"/>
        <v>2030</v>
      </c>
      <c r="P10" s="97">
        <f t="shared" si="7"/>
        <v>3356.3800331811922</v>
      </c>
      <c r="Q10" s="97">
        <f t="shared" si="8"/>
        <v>982.05549670626192</v>
      </c>
      <c r="R10" s="97">
        <f t="shared" si="9"/>
        <v>4338.4355298874543</v>
      </c>
      <c r="T10" s="60">
        <f>T9+10</f>
        <v>2038</v>
      </c>
      <c r="U10" s="63">
        <f>U9+X9</f>
        <v>3645.0754822008907</v>
      </c>
      <c r="V10" s="62">
        <f>P18</f>
        <v>3645.0754822008907</v>
      </c>
      <c r="W10" s="63">
        <f>V10*'8.3.1 Metas'!F7/100</f>
        <v>3645.0754822008907</v>
      </c>
      <c r="X10" s="63">
        <f>W10-U10</f>
        <v>0</v>
      </c>
      <c r="Y10" s="88"/>
      <c r="Z10" s="60">
        <f>Z9+10</f>
        <v>2038</v>
      </c>
      <c r="AA10" s="63">
        <f>AA9+AD9</f>
        <v>3645.0754822008907</v>
      </c>
      <c r="AB10" s="63">
        <f>V10</f>
        <v>3645.0754822008907</v>
      </c>
      <c r="AC10" s="63">
        <f>AB10*'8.3.1 Metas'!F24/100</f>
        <v>3645.0754822008907</v>
      </c>
      <c r="AD10" s="63">
        <f>AC10-AA10</f>
        <v>0</v>
      </c>
      <c r="AG10" s="56">
        <f t="shared" si="10"/>
        <v>2038</v>
      </c>
      <c r="AH10" s="33"/>
      <c r="AI10" s="33"/>
      <c r="AJ10" s="33"/>
      <c r="AK10" s="33"/>
      <c r="AL10" s="64"/>
      <c r="AM10" s="56">
        <f>AM9+10</f>
        <v>2038</v>
      </c>
      <c r="AN10" s="33"/>
      <c r="AO10" s="33"/>
      <c r="AP10" s="33"/>
      <c r="AQ10" s="33"/>
    </row>
    <row r="11" spans="2:43" x14ac:dyDescent="0.3">
      <c r="J11" s="92">
        <f t="shared" si="2"/>
        <v>2016</v>
      </c>
      <c r="K11" s="97">
        <f t="shared" si="3"/>
        <v>2845.7735224661947</v>
      </c>
      <c r="L11" s="97">
        <f t="shared" si="4"/>
        <v>906.73220826651311</v>
      </c>
      <c r="M11" s="97">
        <f t="shared" si="5"/>
        <v>3752.5057307327079</v>
      </c>
      <c r="N11" s="99"/>
      <c r="O11" s="92">
        <f t="shared" si="6"/>
        <v>2031</v>
      </c>
      <c r="P11" s="97">
        <f t="shared" si="7"/>
        <v>3391.1777453380391</v>
      </c>
      <c r="Q11" s="97">
        <f t="shared" si="8"/>
        <v>986.96577418979314</v>
      </c>
      <c r="R11" s="97">
        <f t="shared" si="9"/>
        <v>4378.1435195278318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</row>
    <row r="12" spans="2:43" x14ac:dyDescent="0.3">
      <c r="J12" s="92">
        <f t="shared" si="2"/>
        <v>2017</v>
      </c>
      <c r="K12" s="97">
        <f t="shared" si="3"/>
        <v>2875.2774543569162</v>
      </c>
      <c r="L12" s="97">
        <f t="shared" si="4"/>
        <v>911.26586930784561</v>
      </c>
      <c r="M12" s="97">
        <f t="shared" si="5"/>
        <v>3786.5433236647618</v>
      </c>
      <c r="N12" s="99"/>
      <c r="O12" s="92">
        <f t="shared" si="6"/>
        <v>2032</v>
      </c>
      <c r="P12" s="97">
        <f t="shared" si="7"/>
        <v>3426.3362273598536</v>
      </c>
      <c r="Q12" s="97">
        <f t="shared" si="8"/>
        <v>991.90060306074201</v>
      </c>
      <c r="R12" s="97">
        <f t="shared" si="9"/>
        <v>4418.2368304205957</v>
      </c>
      <c r="T12" s="147" t="s">
        <v>118</v>
      </c>
      <c r="U12" s="147"/>
      <c r="V12" s="147"/>
      <c r="W12" s="147"/>
      <c r="X12" s="147"/>
      <c r="Y12" s="103"/>
      <c r="Z12" s="147" t="s">
        <v>118</v>
      </c>
      <c r="AA12" s="147"/>
      <c r="AB12" s="147"/>
      <c r="AC12" s="147"/>
      <c r="AD12" s="147"/>
      <c r="AG12" s="156" t="s">
        <v>118</v>
      </c>
      <c r="AH12" s="156"/>
      <c r="AI12" s="156"/>
      <c r="AJ12" s="156"/>
      <c r="AK12" s="156"/>
      <c r="AL12" s="65"/>
      <c r="AM12" s="156" t="s">
        <v>118</v>
      </c>
      <c r="AN12" s="156"/>
      <c r="AO12" s="156"/>
      <c r="AP12" s="156"/>
      <c r="AQ12" s="156"/>
    </row>
    <row r="13" spans="2:43" x14ac:dyDescent="0.3">
      <c r="B13" s="58" t="s">
        <v>205</v>
      </c>
      <c r="C13" s="58" t="s">
        <v>206</v>
      </c>
      <c r="D13" s="58" t="s">
        <v>207</v>
      </c>
      <c r="E13" s="58" t="s">
        <v>208</v>
      </c>
      <c r="J13" s="25">
        <f t="shared" si="2"/>
        <v>2018</v>
      </c>
      <c r="K13" s="26">
        <f t="shared" si="3"/>
        <v>2905.0872721483042</v>
      </c>
      <c r="L13" s="26">
        <f t="shared" si="4"/>
        <v>915.82219865438469</v>
      </c>
      <c r="M13" s="26">
        <f t="shared" si="5"/>
        <v>3820.9094708026887</v>
      </c>
      <c r="N13" s="99"/>
      <c r="O13" s="92">
        <f t="shared" si="6"/>
        <v>2033</v>
      </c>
      <c r="P13" s="97">
        <f t="shared" si="7"/>
        <v>3461.8592195757378</v>
      </c>
      <c r="Q13" s="97">
        <f t="shared" si="8"/>
        <v>996.86010607604567</v>
      </c>
      <c r="R13" s="97">
        <f t="shared" si="9"/>
        <v>4458.7193256517839</v>
      </c>
      <c r="T13" s="148" t="s">
        <v>91</v>
      </c>
      <c r="U13" s="149" t="s">
        <v>92</v>
      </c>
      <c r="V13" s="149"/>
      <c r="W13" s="149"/>
      <c r="X13" s="149"/>
      <c r="Y13" s="88"/>
      <c r="Z13" s="148" t="s">
        <v>91</v>
      </c>
      <c r="AA13" s="149" t="s">
        <v>92</v>
      </c>
      <c r="AB13" s="149"/>
      <c r="AC13" s="149"/>
      <c r="AD13" s="149"/>
      <c r="AG13" s="157" t="s">
        <v>91</v>
      </c>
      <c r="AH13" s="158" t="s">
        <v>92</v>
      </c>
      <c r="AI13" s="158"/>
      <c r="AJ13" s="158"/>
      <c r="AK13" s="158"/>
      <c r="AL13" s="64"/>
      <c r="AM13" s="157" t="s">
        <v>91</v>
      </c>
      <c r="AN13" s="158" t="s">
        <v>92</v>
      </c>
      <c r="AO13" s="158"/>
      <c r="AP13" s="158"/>
      <c r="AQ13" s="158"/>
    </row>
    <row r="14" spans="2:43" x14ac:dyDescent="0.3">
      <c r="B14" s="59">
        <v>2018</v>
      </c>
      <c r="C14" s="60">
        <f>B14+5</f>
        <v>2023</v>
      </c>
      <c r="D14" s="60">
        <f>C14+5</f>
        <v>2028</v>
      </c>
      <c r="E14" s="60">
        <f>D14+10</f>
        <v>2038</v>
      </c>
      <c r="J14" s="92">
        <f t="shared" si="2"/>
        <v>2019</v>
      </c>
      <c r="K14" s="97">
        <f t="shared" si="3"/>
        <v>2935.2061471527304</v>
      </c>
      <c r="L14" s="97">
        <f t="shared" si="4"/>
        <v>920.40130964765649</v>
      </c>
      <c r="M14" s="97">
        <f t="shared" si="5"/>
        <v>3855.6074568003869</v>
      </c>
      <c r="N14" s="99"/>
      <c r="O14" s="92">
        <f t="shared" si="6"/>
        <v>2034</v>
      </c>
      <c r="P14" s="97">
        <f t="shared" si="7"/>
        <v>3497.7505010931491</v>
      </c>
      <c r="Q14" s="97">
        <f t="shared" si="8"/>
        <v>1001.8444066064258</v>
      </c>
      <c r="R14" s="97">
        <f t="shared" si="9"/>
        <v>4499.5949076995748</v>
      </c>
      <c r="T14" s="148"/>
      <c r="U14" s="102" t="s">
        <v>114</v>
      </c>
      <c r="V14" s="102" t="s">
        <v>115</v>
      </c>
      <c r="W14" s="102" t="s">
        <v>121</v>
      </c>
      <c r="X14" s="102" t="s">
        <v>186</v>
      </c>
      <c r="Y14" s="88"/>
      <c r="Z14" s="148"/>
      <c r="AA14" s="102" t="s">
        <v>114</v>
      </c>
      <c r="AB14" s="102" t="s">
        <v>115</v>
      </c>
      <c r="AC14" s="102" t="s">
        <v>121</v>
      </c>
      <c r="AD14" s="102" t="s">
        <v>186</v>
      </c>
      <c r="AG14" s="157"/>
      <c r="AH14" s="66" t="s">
        <v>114</v>
      </c>
      <c r="AI14" s="66" t="s">
        <v>115</v>
      </c>
      <c r="AJ14" s="66" t="s">
        <v>121</v>
      </c>
      <c r="AK14" s="66" t="s">
        <v>186</v>
      </c>
      <c r="AL14" s="64"/>
      <c r="AM14" s="157"/>
      <c r="AN14" s="66" t="s">
        <v>114</v>
      </c>
      <c r="AO14" s="66" t="s">
        <v>115</v>
      </c>
      <c r="AP14" s="66" t="s">
        <v>121</v>
      </c>
      <c r="AQ14" s="66" t="s">
        <v>186</v>
      </c>
    </row>
    <row r="15" spans="2:43" x14ac:dyDescent="0.3">
      <c r="J15" s="92">
        <f t="shared" si="2"/>
        <v>2020</v>
      </c>
      <c r="K15" s="97">
        <f t="shared" si="3"/>
        <v>2965.6372835615657</v>
      </c>
      <c r="L15" s="97">
        <f t="shared" si="4"/>
        <v>925.00331619589463</v>
      </c>
      <c r="M15" s="97">
        <f t="shared" si="5"/>
        <v>3890.6405997574602</v>
      </c>
      <c r="N15" s="99"/>
      <c r="O15" s="92">
        <f t="shared" si="6"/>
        <v>2035</v>
      </c>
      <c r="P15" s="97">
        <f t="shared" si="7"/>
        <v>3534.013890199938</v>
      </c>
      <c r="Q15" s="97">
        <f t="shared" si="8"/>
        <v>1006.8536286394578</v>
      </c>
      <c r="R15" s="97">
        <f t="shared" si="9"/>
        <v>4540.8675188393954</v>
      </c>
      <c r="T15" s="60">
        <f>T7</f>
        <v>2018</v>
      </c>
      <c r="U15" s="61">
        <f>L13*'8.3.1 Metas'!C8/100</f>
        <v>700.6039819706042</v>
      </c>
      <c r="V15" s="62">
        <f>L13</f>
        <v>915.82219865438469</v>
      </c>
      <c r="W15" s="63">
        <f>V16*'8.3.1 Metas'!D8/100</f>
        <v>938.94785681296196</v>
      </c>
      <c r="X15" s="63">
        <f>W15-U15</f>
        <v>238.34387484235776</v>
      </c>
      <c r="Y15" s="88"/>
      <c r="Z15" s="60">
        <f>T15</f>
        <v>2018</v>
      </c>
      <c r="AA15" s="61">
        <f>AB15*'8.3.1 Metas'!C25/100</f>
        <v>0</v>
      </c>
      <c r="AB15" s="63">
        <f>V15</f>
        <v>915.82219865438469</v>
      </c>
      <c r="AC15" s="63">
        <f>AB16*'8.3.1 Metas'!D25/100</f>
        <v>234.73696420324049</v>
      </c>
      <c r="AD15" s="63">
        <f>AC15-AA15</f>
        <v>234.73696420324049</v>
      </c>
      <c r="AG15" s="56">
        <f>AG7</f>
        <v>2018</v>
      </c>
      <c r="AH15" s="57"/>
      <c r="AI15" s="33"/>
      <c r="AJ15" s="33"/>
      <c r="AK15" s="33"/>
      <c r="AL15" s="64"/>
      <c r="AM15" s="56">
        <f>AG15</f>
        <v>2018</v>
      </c>
      <c r="AN15" s="57"/>
      <c r="AO15" s="33"/>
      <c r="AP15" s="33"/>
      <c r="AQ15" s="33"/>
    </row>
    <row r="16" spans="2:43" x14ac:dyDescent="0.3">
      <c r="J16" s="92">
        <f t="shared" si="2"/>
        <v>2021</v>
      </c>
      <c r="K16" s="97">
        <f t="shared" si="3"/>
        <v>2996.3839187860572</v>
      </c>
      <c r="L16" s="97">
        <f t="shared" si="4"/>
        <v>929.628332776874</v>
      </c>
      <c r="M16" s="97">
        <f t="shared" si="5"/>
        <v>3926.0122515629309</v>
      </c>
      <c r="N16" s="99"/>
      <c r="O16" s="92">
        <f t="shared" si="6"/>
        <v>2036</v>
      </c>
      <c r="P16" s="97">
        <f t="shared" si="7"/>
        <v>3570.6532447705586</v>
      </c>
      <c r="Q16" s="97">
        <f t="shared" si="8"/>
        <v>1011.887896782655</v>
      </c>
      <c r="R16" s="97">
        <f t="shared" si="9"/>
        <v>4582.5411415532135</v>
      </c>
      <c r="T16" s="60">
        <f>T15+5</f>
        <v>2023</v>
      </c>
      <c r="U16" s="63">
        <f>U15+X15</f>
        <v>938.94785681296196</v>
      </c>
      <c r="V16" s="62">
        <f>L18</f>
        <v>938.94785681296196</v>
      </c>
      <c r="W16" s="63">
        <f>V17*'8.3.1 Metas'!E8/100</f>
        <v>972.30810792432078</v>
      </c>
      <c r="X16" s="63">
        <f>W16-U16</f>
        <v>33.360251111358821</v>
      </c>
      <c r="Y16" s="88"/>
      <c r="Z16" s="60">
        <f>Z15+5</f>
        <v>2023</v>
      </c>
      <c r="AA16" s="63">
        <f>AA15+AD15</f>
        <v>234.73696420324049</v>
      </c>
      <c r="AB16" s="63">
        <f>V16</f>
        <v>938.94785681296196</v>
      </c>
      <c r="AC16" s="63">
        <f>AB17*'8.3.1 Metas'!E25/100</f>
        <v>486.15405396216039</v>
      </c>
      <c r="AD16" s="63">
        <f>AC16-AA16</f>
        <v>251.4170897589199</v>
      </c>
      <c r="AG16" s="56">
        <f>AG15+5</f>
        <v>2023</v>
      </c>
      <c r="AH16" s="33"/>
      <c r="AI16" s="33"/>
      <c r="AJ16" s="33"/>
      <c r="AK16" s="33"/>
      <c r="AL16" s="64"/>
      <c r="AM16" s="56">
        <f>AM15+5</f>
        <v>2023</v>
      </c>
      <c r="AN16" s="33"/>
      <c r="AO16" s="33"/>
      <c r="AP16" s="33"/>
      <c r="AQ16" s="33"/>
    </row>
    <row r="17" spans="10:43" x14ac:dyDescent="0.3">
      <c r="J17" s="92">
        <f t="shared" si="2"/>
        <v>2022</v>
      </c>
      <c r="K17" s="97">
        <f t="shared" si="3"/>
        <v>3027.4493238017394</v>
      </c>
      <c r="L17" s="97">
        <f t="shared" si="4"/>
        <v>934.27647444075831</v>
      </c>
      <c r="M17" s="97">
        <f t="shared" si="5"/>
        <v>3961.7257982424976</v>
      </c>
      <c r="N17" s="99"/>
      <c r="O17" s="100">
        <f t="shared" si="6"/>
        <v>2037</v>
      </c>
      <c r="P17" s="101">
        <f t="shared" si="7"/>
        <v>3607.6724626764858</v>
      </c>
      <c r="Q17" s="101">
        <f t="shared" si="8"/>
        <v>1016.9473362665682</v>
      </c>
      <c r="R17" s="101">
        <f t="shared" si="9"/>
        <v>4624.6197989430539</v>
      </c>
      <c r="T17" s="60">
        <f>T16+5</f>
        <v>2028</v>
      </c>
      <c r="U17" s="63">
        <f>U16+X16</f>
        <v>972.30810792432078</v>
      </c>
      <c r="V17" s="62">
        <f>Q8</f>
        <v>972.30810792432078</v>
      </c>
      <c r="W17" s="63">
        <f>V18*'8.3.1 Metas'!F8/100</f>
        <v>1022.0320729479009</v>
      </c>
      <c r="X17" s="63">
        <f>W17-U17</f>
        <v>49.723965023580149</v>
      </c>
      <c r="Y17" s="88"/>
      <c r="Z17" s="60">
        <f>Z16+5</f>
        <v>2028</v>
      </c>
      <c r="AA17" s="63">
        <f>AA16+AD16</f>
        <v>486.15405396216039</v>
      </c>
      <c r="AB17" s="63">
        <f>V17</f>
        <v>972.30810792432078</v>
      </c>
      <c r="AC17" s="63">
        <f>AB18*'8.3.1 Metas'!F25/100</f>
        <v>1022.0320729479009</v>
      </c>
      <c r="AD17" s="63">
        <f>AC17-AA17</f>
        <v>535.87801898574048</v>
      </c>
      <c r="AE17" s="19"/>
      <c r="AG17" s="56">
        <f>AG16+5</f>
        <v>2028</v>
      </c>
      <c r="AH17" s="33"/>
      <c r="AI17" s="33"/>
      <c r="AJ17" s="33"/>
      <c r="AK17" s="33"/>
      <c r="AL17" s="64"/>
      <c r="AM17" s="56">
        <f>AM16+5</f>
        <v>2028</v>
      </c>
      <c r="AN17" s="33"/>
      <c r="AO17" s="33"/>
      <c r="AP17" s="33"/>
      <c r="AQ17" s="33"/>
    </row>
    <row r="18" spans="10:43" x14ac:dyDescent="0.3">
      <c r="J18" s="25">
        <f t="shared" si="2"/>
        <v>2023</v>
      </c>
      <c r="K18" s="26">
        <f t="shared" si="3"/>
        <v>3058.8368034964165</v>
      </c>
      <c r="L18" s="26">
        <f t="shared" si="4"/>
        <v>938.94785681296196</v>
      </c>
      <c r="M18" s="26">
        <f t="shared" si="5"/>
        <v>3997.7846603093785</v>
      </c>
      <c r="N18" s="99"/>
      <c r="O18" s="25">
        <f t="shared" si="6"/>
        <v>2038</v>
      </c>
      <c r="P18" s="26">
        <f t="shared" si="7"/>
        <v>3645.0754822008907</v>
      </c>
      <c r="Q18" s="26">
        <f t="shared" si="8"/>
        <v>1022.0320729479009</v>
      </c>
      <c r="R18" s="26">
        <f t="shared" si="9"/>
        <v>4667.107555148792</v>
      </c>
      <c r="T18" s="60">
        <f>T17+10</f>
        <v>2038</v>
      </c>
      <c r="U18" s="63">
        <f>U17+X17</f>
        <v>1022.0320729479009</v>
      </c>
      <c r="V18" s="62">
        <f>Q18</f>
        <v>1022.0320729479009</v>
      </c>
      <c r="W18" s="63">
        <f>V18*'8.3.1 Metas'!F8/100</f>
        <v>1022.0320729479009</v>
      </c>
      <c r="X18" s="63">
        <f>W18-U18</f>
        <v>0</v>
      </c>
      <c r="Y18" s="88"/>
      <c r="Z18" s="60">
        <f>Z17+10</f>
        <v>2038</v>
      </c>
      <c r="AA18" s="63">
        <f>AA17+AD17</f>
        <v>1022.0320729479008</v>
      </c>
      <c r="AB18" s="63">
        <f>V18</f>
        <v>1022.0320729479009</v>
      </c>
      <c r="AC18" s="63">
        <f>AB18*'8.3.1 Metas'!F26/100</f>
        <v>1022.0320729479009</v>
      </c>
      <c r="AD18" s="63">
        <f>AC18-AA18</f>
        <v>0</v>
      </c>
      <c r="AG18" s="56">
        <f>AG17+10</f>
        <v>2038</v>
      </c>
      <c r="AH18" s="33"/>
      <c r="AI18" s="33"/>
      <c r="AJ18" s="33"/>
      <c r="AK18" s="33"/>
      <c r="AL18" s="64"/>
      <c r="AM18" s="56">
        <f>AM17+10</f>
        <v>2038</v>
      </c>
      <c r="AN18" s="33"/>
      <c r="AO18" s="33"/>
      <c r="AP18" s="33"/>
      <c r="AQ18" s="33"/>
    </row>
    <row r="19" spans="10:43" x14ac:dyDescent="0.3">
      <c r="J19" s="92">
        <f t="shared" si="2"/>
        <v>2024</v>
      </c>
      <c r="K19" s="97">
        <f t="shared" si="3"/>
        <v>3090.5496970217523</v>
      </c>
      <c r="L19" s="97">
        <f t="shared" si="4"/>
        <v>943.64259609702663</v>
      </c>
      <c r="M19" s="97">
        <f t="shared" si="5"/>
        <v>4034.1922931187792</v>
      </c>
      <c r="N19" s="99"/>
      <c r="O19" s="100">
        <f t="shared" si="6"/>
        <v>2039</v>
      </c>
      <c r="P19" s="101">
        <f t="shared" si="7"/>
        <v>3682.8662824576145</v>
      </c>
      <c r="Q19" s="101">
        <f t="shared" si="8"/>
        <v>1027.1422333126404</v>
      </c>
      <c r="R19" s="101">
        <f t="shared" ref="R19:R21" si="11">P19+Q19</f>
        <v>4710.0085157702551</v>
      </c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</row>
    <row r="20" spans="10:43" x14ac:dyDescent="0.3">
      <c r="J20" s="92">
        <f t="shared" si="2"/>
        <v>2025</v>
      </c>
      <c r="K20" s="97">
        <f t="shared" si="3"/>
        <v>3122.5913781485056</v>
      </c>
      <c r="L20" s="97">
        <f t="shared" si="4"/>
        <v>948.3608090775117</v>
      </c>
      <c r="M20" s="97">
        <f t="shared" ref="M20:M21" si="12">K20+L20</f>
        <v>4070.9521872260175</v>
      </c>
      <c r="N20" s="98"/>
      <c r="O20" s="92">
        <f t="shared" si="6"/>
        <v>2040</v>
      </c>
      <c r="P20" s="97">
        <f t="shared" si="7"/>
        <v>3721.0488838144852</v>
      </c>
      <c r="Q20" s="97">
        <f t="shared" si="8"/>
        <v>1032.2779444792036</v>
      </c>
      <c r="R20" s="97">
        <f t="shared" si="11"/>
        <v>4753.3268282936888</v>
      </c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</row>
    <row r="21" spans="10:43" x14ac:dyDescent="0.3">
      <c r="J21" s="92">
        <f t="shared" si="2"/>
        <v>2026</v>
      </c>
      <c r="K21" s="97">
        <f t="shared" si="3"/>
        <v>3154.9652556254482</v>
      </c>
      <c r="L21" s="97">
        <f t="shared" si="4"/>
        <v>953.10261312289913</v>
      </c>
      <c r="M21" s="97">
        <f t="shared" si="12"/>
        <v>4108.0678687483469</v>
      </c>
      <c r="N21" s="98"/>
      <c r="O21" s="92">
        <f t="shared" si="6"/>
        <v>2041</v>
      </c>
      <c r="P21" s="97">
        <f t="shared" si="7"/>
        <v>3759.627348321023</v>
      </c>
      <c r="Q21" s="97">
        <f t="shared" si="8"/>
        <v>1037.4393342015994</v>
      </c>
      <c r="R21" s="97">
        <f t="shared" si="11"/>
        <v>4797.0666825226226</v>
      </c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</row>
    <row r="22" spans="10:43" x14ac:dyDescent="0.3">
      <c r="T22" s="147" t="s">
        <v>120</v>
      </c>
      <c r="U22" s="147"/>
      <c r="V22" s="147"/>
      <c r="W22" s="147"/>
      <c r="X22" s="147"/>
      <c r="Y22" s="103"/>
      <c r="Z22" s="147" t="s">
        <v>123</v>
      </c>
      <c r="AA22" s="147"/>
      <c r="AB22" s="147"/>
      <c r="AC22" s="147"/>
      <c r="AD22" s="147"/>
      <c r="AG22" s="156" t="s">
        <v>120</v>
      </c>
      <c r="AH22" s="156"/>
      <c r="AI22" s="156"/>
      <c r="AJ22" s="156"/>
      <c r="AK22" s="156"/>
      <c r="AL22" s="65"/>
      <c r="AM22" s="156" t="s">
        <v>123</v>
      </c>
      <c r="AN22" s="156"/>
      <c r="AO22" s="156"/>
      <c r="AP22" s="156"/>
      <c r="AQ22" s="156"/>
    </row>
    <row r="23" spans="10:43" x14ac:dyDescent="0.3">
      <c r="T23" s="147" t="s">
        <v>117</v>
      </c>
      <c r="U23" s="147"/>
      <c r="V23" s="147"/>
      <c r="W23" s="147"/>
      <c r="X23" s="147"/>
      <c r="Y23" s="103"/>
      <c r="Z23" s="147" t="s">
        <v>117</v>
      </c>
      <c r="AA23" s="147"/>
      <c r="AB23" s="147"/>
      <c r="AC23" s="147"/>
      <c r="AD23" s="147"/>
      <c r="AG23" s="156" t="s">
        <v>117</v>
      </c>
      <c r="AH23" s="156"/>
      <c r="AI23" s="156"/>
      <c r="AJ23" s="156"/>
      <c r="AK23" s="156"/>
      <c r="AL23" s="65"/>
      <c r="AM23" s="156" t="s">
        <v>117</v>
      </c>
      <c r="AN23" s="156"/>
      <c r="AO23" s="156"/>
      <c r="AP23" s="156"/>
      <c r="AQ23" s="156"/>
    </row>
    <row r="24" spans="10:43" x14ac:dyDescent="0.3">
      <c r="T24" s="148" t="s">
        <v>91</v>
      </c>
      <c r="U24" s="149" t="s">
        <v>92</v>
      </c>
      <c r="V24" s="149"/>
      <c r="W24" s="149"/>
      <c r="X24" s="149"/>
      <c r="Y24" s="88"/>
      <c r="Z24" s="148" t="s">
        <v>91</v>
      </c>
      <c r="AA24" s="149" t="s">
        <v>92</v>
      </c>
      <c r="AB24" s="149"/>
      <c r="AC24" s="149"/>
      <c r="AD24" s="149"/>
      <c r="AG24" s="157" t="s">
        <v>91</v>
      </c>
      <c r="AH24" s="158" t="s">
        <v>92</v>
      </c>
      <c r="AI24" s="158"/>
      <c r="AJ24" s="158"/>
      <c r="AK24" s="158"/>
      <c r="AL24" s="64"/>
      <c r="AM24" s="157" t="s">
        <v>91</v>
      </c>
      <c r="AN24" s="158" t="s">
        <v>92</v>
      </c>
      <c r="AO24" s="158"/>
      <c r="AP24" s="158"/>
      <c r="AQ24" s="158"/>
    </row>
    <row r="25" spans="10:43" x14ac:dyDescent="0.3">
      <c r="T25" s="148"/>
      <c r="U25" s="102" t="s">
        <v>114</v>
      </c>
      <c r="V25" s="102" t="s">
        <v>115</v>
      </c>
      <c r="W25" s="102" t="s">
        <v>121</v>
      </c>
      <c r="X25" s="102" t="s">
        <v>186</v>
      </c>
      <c r="Y25" s="88"/>
      <c r="Z25" s="148"/>
      <c r="AA25" s="102" t="s">
        <v>114</v>
      </c>
      <c r="AB25" s="102" t="s">
        <v>115</v>
      </c>
      <c r="AC25" s="102" t="s">
        <v>121</v>
      </c>
      <c r="AD25" s="102" t="s">
        <v>186</v>
      </c>
      <c r="AG25" s="157"/>
      <c r="AH25" s="66" t="s">
        <v>114</v>
      </c>
      <c r="AI25" s="66" t="s">
        <v>115</v>
      </c>
      <c r="AJ25" s="66" t="s">
        <v>121</v>
      </c>
      <c r="AK25" s="66" t="s">
        <v>186</v>
      </c>
      <c r="AL25" s="64"/>
      <c r="AM25" s="157"/>
      <c r="AN25" s="66" t="s">
        <v>114</v>
      </c>
      <c r="AO25" s="66" t="s">
        <v>115</v>
      </c>
      <c r="AP25" s="66" t="s">
        <v>121</v>
      </c>
      <c r="AQ25" s="66" t="s">
        <v>186</v>
      </c>
    </row>
    <row r="26" spans="10:43" x14ac:dyDescent="0.3">
      <c r="T26" s="60">
        <f>T15</f>
        <v>2018</v>
      </c>
      <c r="U26" s="61">
        <f>K13*'8.3.1 Metas'!C14/100</f>
        <v>1419.7161498988762</v>
      </c>
      <c r="V26" s="63">
        <f>V7</f>
        <v>2905.0872721483042</v>
      </c>
      <c r="W26" s="63">
        <f>V27*'8.3.1 Metas'!D14/100</f>
        <v>1835.30208209785</v>
      </c>
      <c r="X26" s="63">
        <f>W26-U26</f>
        <v>415.58593219897375</v>
      </c>
      <c r="Y26" s="88"/>
      <c r="Z26" s="60">
        <f>T26</f>
        <v>2018</v>
      </c>
      <c r="AA26" s="61">
        <f>AB26*'8.3.1 Metas'!C31/100</f>
        <v>2031.4881434186918</v>
      </c>
      <c r="AB26" s="63">
        <f>AB7</f>
        <v>2905.0872721483042</v>
      </c>
      <c r="AC26" s="63">
        <f>AB27*'8.3.1 Metas'!D31/100</f>
        <v>2447.0694427971334</v>
      </c>
      <c r="AD26" s="63">
        <f>AC26-AA26</f>
        <v>415.5812993784416</v>
      </c>
      <c r="AG26" s="56">
        <f>AG15</f>
        <v>2018</v>
      </c>
      <c r="AH26" s="57"/>
      <c r="AI26" s="33"/>
      <c r="AJ26" s="33"/>
      <c r="AK26" s="33"/>
      <c r="AL26" s="64"/>
      <c r="AM26" s="56">
        <f>AG26</f>
        <v>2018</v>
      </c>
      <c r="AN26" s="57"/>
      <c r="AO26" s="33"/>
      <c r="AP26" s="33"/>
      <c r="AQ26" s="33"/>
    </row>
    <row r="27" spans="10:43" x14ac:dyDescent="0.3">
      <c r="T27" s="60">
        <f>T26+5</f>
        <v>2023</v>
      </c>
      <c r="U27" s="63">
        <f>U26+X26</f>
        <v>1835.30208209785</v>
      </c>
      <c r="V27" s="63">
        <f t="shared" ref="V27:V29" si="13">V8</f>
        <v>3058.8368034964165</v>
      </c>
      <c r="W27" s="63">
        <f>V28*'8.3.1 Metas'!E14/100</f>
        <v>2630.2817189234902</v>
      </c>
      <c r="X27" s="63">
        <f>W27-U27</f>
        <v>794.97963682564023</v>
      </c>
      <c r="Y27" s="88"/>
      <c r="Z27" s="60">
        <f>Z26+5</f>
        <v>2023</v>
      </c>
      <c r="AA27" s="63">
        <f>AA26+AD26</f>
        <v>2447.0694427971334</v>
      </c>
      <c r="AB27" s="63">
        <f t="shared" ref="AB27:AB29" si="14">AB8</f>
        <v>3058.8368034964165</v>
      </c>
      <c r="AC27" s="63">
        <f>AB28*'8.3.1 Metas'!E31/100</f>
        <v>2959.0669337889267</v>
      </c>
      <c r="AD27" s="63">
        <f>AC27-AA27</f>
        <v>511.99749099179326</v>
      </c>
      <c r="AG27" s="56">
        <f>AG26+5</f>
        <v>2023</v>
      </c>
      <c r="AH27" s="33"/>
      <c r="AI27" s="33"/>
      <c r="AJ27" s="33"/>
      <c r="AK27" s="33"/>
      <c r="AL27" s="64"/>
      <c r="AM27" s="56">
        <f>AM26+5</f>
        <v>2023</v>
      </c>
      <c r="AN27" s="33"/>
      <c r="AO27" s="33"/>
      <c r="AP27" s="33"/>
      <c r="AQ27" s="33"/>
    </row>
    <row r="28" spans="10:43" x14ac:dyDescent="0.3">
      <c r="T28" s="60">
        <f>T27+5</f>
        <v>2028</v>
      </c>
      <c r="U28" s="63">
        <f>U27+X27</f>
        <v>2630.2817189234902</v>
      </c>
      <c r="V28" s="63">
        <f t="shared" si="13"/>
        <v>3287.8521486543632</v>
      </c>
      <c r="W28" s="63">
        <f>V29*'8.3.1 Metas'!F14/100</f>
        <v>3645.0754822008907</v>
      </c>
      <c r="X28" s="63">
        <f>W28-U28</f>
        <v>1014.7937632774006</v>
      </c>
      <c r="Y28" s="88"/>
      <c r="Z28" s="60">
        <f>Z27+5</f>
        <v>2028</v>
      </c>
      <c r="AA28" s="63">
        <f>AA27+AD27</f>
        <v>2959.0669337889267</v>
      </c>
      <c r="AB28" s="63">
        <f t="shared" si="14"/>
        <v>3287.8521486543632</v>
      </c>
      <c r="AC28" s="63">
        <f>AB29*'8.3.1 Metas'!F31/100</f>
        <v>3645.0754822008907</v>
      </c>
      <c r="AD28" s="63">
        <f>AC28-AA28</f>
        <v>686.00854841196406</v>
      </c>
      <c r="AE28" s="19"/>
      <c r="AG28" s="56">
        <f>AG27+5</f>
        <v>2028</v>
      </c>
      <c r="AH28" s="33"/>
      <c r="AI28" s="33"/>
      <c r="AJ28" s="33"/>
      <c r="AK28" s="33"/>
      <c r="AL28" s="64"/>
      <c r="AM28" s="56">
        <f>AM27+5</f>
        <v>2028</v>
      </c>
      <c r="AN28" s="33"/>
      <c r="AO28" s="33"/>
      <c r="AP28" s="33"/>
      <c r="AQ28" s="33"/>
    </row>
    <row r="29" spans="10:43" x14ac:dyDescent="0.3">
      <c r="T29" s="60">
        <f>T28+10</f>
        <v>2038</v>
      </c>
      <c r="U29" s="63">
        <f>U28+X28</f>
        <v>3645.0754822008907</v>
      </c>
      <c r="V29" s="63">
        <f t="shared" si="13"/>
        <v>3645.0754822008907</v>
      </c>
      <c r="W29" s="63">
        <f>V29*'8.3.1 Metas'!F14/100</f>
        <v>3645.0754822008907</v>
      </c>
      <c r="X29" s="63">
        <f>W29-U29</f>
        <v>0</v>
      </c>
      <c r="Y29" s="88"/>
      <c r="Z29" s="60">
        <f>Z28+10</f>
        <v>2038</v>
      </c>
      <c r="AA29" s="63">
        <f>AA28+AD28</f>
        <v>3645.0754822008907</v>
      </c>
      <c r="AB29" s="63">
        <f t="shared" si="14"/>
        <v>3645.0754822008907</v>
      </c>
      <c r="AC29" s="63">
        <f>AC28</f>
        <v>3645.0754822008907</v>
      </c>
      <c r="AD29" s="63">
        <f>AC29-AA29</f>
        <v>0</v>
      </c>
      <c r="AG29" s="56">
        <f>AG28+10</f>
        <v>2038</v>
      </c>
      <c r="AH29" s="33"/>
      <c r="AI29" s="33"/>
      <c r="AJ29" s="33"/>
      <c r="AK29" s="33"/>
      <c r="AL29" s="64"/>
      <c r="AM29" s="56">
        <f>AM28+10</f>
        <v>2038</v>
      </c>
      <c r="AN29" s="33"/>
      <c r="AO29" s="33"/>
      <c r="AP29" s="33"/>
      <c r="AQ29" s="33"/>
    </row>
    <row r="30" spans="10:43" x14ac:dyDescent="0.3"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</row>
    <row r="31" spans="10:43" x14ac:dyDescent="0.3">
      <c r="T31" s="147" t="s">
        <v>118</v>
      </c>
      <c r="U31" s="147"/>
      <c r="V31" s="147"/>
      <c r="W31" s="147"/>
      <c r="X31" s="147"/>
      <c r="Y31" s="103"/>
      <c r="Z31" s="147" t="s">
        <v>118</v>
      </c>
      <c r="AA31" s="147"/>
      <c r="AB31" s="147"/>
      <c r="AC31" s="147"/>
      <c r="AD31" s="147"/>
      <c r="AG31" s="156" t="s">
        <v>118</v>
      </c>
      <c r="AH31" s="156"/>
      <c r="AI31" s="156"/>
      <c r="AJ31" s="156"/>
      <c r="AK31" s="156"/>
      <c r="AL31" s="65"/>
      <c r="AM31" s="156" t="s">
        <v>118</v>
      </c>
      <c r="AN31" s="156"/>
      <c r="AO31" s="156"/>
      <c r="AP31" s="156"/>
      <c r="AQ31" s="156"/>
    </row>
    <row r="32" spans="10:43" x14ac:dyDescent="0.3">
      <c r="T32" s="148" t="s">
        <v>91</v>
      </c>
      <c r="U32" s="149" t="s">
        <v>92</v>
      </c>
      <c r="V32" s="149"/>
      <c r="W32" s="149"/>
      <c r="X32" s="149"/>
      <c r="Y32" s="88"/>
      <c r="Z32" s="148" t="s">
        <v>91</v>
      </c>
      <c r="AA32" s="149" t="s">
        <v>92</v>
      </c>
      <c r="AB32" s="149"/>
      <c r="AC32" s="149"/>
      <c r="AD32" s="149"/>
      <c r="AG32" s="157" t="s">
        <v>91</v>
      </c>
      <c r="AH32" s="158" t="s">
        <v>92</v>
      </c>
      <c r="AI32" s="158"/>
      <c r="AJ32" s="158"/>
      <c r="AK32" s="158"/>
      <c r="AL32" s="64"/>
      <c r="AM32" s="157" t="s">
        <v>91</v>
      </c>
      <c r="AN32" s="158" t="s">
        <v>92</v>
      </c>
      <c r="AO32" s="158"/>
      <c r="AP32" s="158"/>
      <c r="AQ32" s="158"/>
    </row>
    <row r="33" spans="20:43" x14ac:dyDescent="0.3">
      <c r="T33" s="148"/>
      <c r="U33" s="102" t="s">
        <v>114</v>
      </c>
      <c r="V33" s="102" t="s">
        <v>115</v>
      </c>
      <c r="W33" s="102" t="s">
        <v>121</v>
      </c>
      <c r="X33" s="102" t="s">
        <v>186</v>
      </c>
      <c r="Y33" s="88"/>
      <c r="Z33" s="148"/>
      <c r="AA33" s="102" t="s">
        <v>114</v>
      </c>
      <c r="AB33" s="102" t="s">
        <v>115</v>
      </c>
      <c r="AC33" s="102" t="s">
        <v>121</v>
      </c>
      <c r="AD33" s="102" t="s">
        <v>186</v>
      </c>
      <c r="AG33" s="157"/>
      <c r="AH33" s="66" t="s">
        <v>114</v>
      </c>
      <c r="AI33" s="66" t="s">
        <v>115</v>
      </c>
      <c r="AJ33" s="66" t="s">
        <v>121</v>
      </c>
      <c r="AK33" s="66" t="s">
        <v>186</v>
      </c>
      <c r="AL33" s="64"/>
      <c r="AM33" s="157"/>
      <c r="AN33" s="66" t="s">
        <v>114</v>
      </c>
      <c r="AO33" s="66" t="s">
        <v>115</v>
      </c>
      <c r="AP33" s="66" t="s">
        <v>121</v>
      </c>
      <c r="AQ33" s="66" t="s">
        <v>186</v>
      </c>
    </row>
    <row r="34" spans="20:43" x14ac:dyDescent="0.3">
      <c r="T34" s="60">
        <f>T7</f>
        <v>2018</v>
      </c>
      <c r="U34" s="61">
        <f>'8.3.1 Metas'!C15/100*'Quadros 8.4.1 a 8.4.4'!L13</f>
        <v>442.52528638979868</v>
      </c>
      <c r="V34" s="63">
        <f>V15</f>
        <v>915.82219865438469</v>
      </c>
      <c r="W34" s="63">
        <f>V35*'8.3.1 Metas'!D15/100</f>
        <v>563.36871408777722</v>
      </c>
      <c r="X34" s="63">
        <f t="shared" ref="X34:X37" si="15">W34-U34</f>
        <v>120.84342769797854</v>
      </c>
      <c r="Y34" s="88"/>
      <c r="Z34" s="60">
        <f>T34</f>
        <v>2018</v>
      </c>
      <c r="AA34" s="61">
        <f>AB34*'8.3.1 Metas'!C32/100</f>
        <v>0</v>
      </c>
      <c r="AB34" s="63">
        <f>AB15</f>
        <v>915.82219865438469</v>
      </c>
      <c r="AC34" s="63">
        <f>AB35*'8.3.1 Metas'!D32/100</f>
        <v>0</v>
      </c>
      <c r="AD34" s="63">
        <f>AC34-AA34</f>
        <v>0</v>
      </c>
      <c r="AG34" s="56">
        <f>AG7</f>
        <v>2018</v>
      </c>
      <c r="AH34" s="57"/>
      <c r="AI34" s="33"/>
      <c r="AJ34" s="33"/>
      <c r="AK34" s="33"/>
      <c r="AL34" s="64"/>
      <c r="AM34" s="56">
        <f>AG34</f>
        <v>2018</v>
      </c>
      <c r="AN34" s="57"/>
      <c r="AO34" s="33"/>
      <c r="AP34" s="33"/>
      <c r="AQ34" s="33"/>
    </row>
    <row r="35" spans="20:43" x14ac:dyDescent="0.3">
      <c r="T35" s="60">
        <f>T34+5</f>
        <v>2023</v>
      </c>
      <c r="U35" s="63">
        <f>U34+X34</f>
        <v>563.36871408777722</v>
      </c>
      <c r="V35" s="63">
        <f t="shared" ref="V35:V37" si="16">V16</f>
        <v>938.94785681296196</v>
      </c>
      <c r="W35" s="63">
        <f>V36*'8.3.1 Metas'!E15/100</f>
        <v>777.84648633945665</v>
      </c>
      <c r="X35" s="63">
        <f t="shared" si="15"/>
        <v>214.47777225167943</v>
      </c>
      <c r="Y35" s="88"/>
      <c r="Z35" s="60">
        <f>Z34+5</f>
        <v>2023</v>
      </c>
      <c r="AA35" s="63">
        <f>AA34+AD34</f>
        <v>0</v>
      </c>
      <c r="AB35" s="63">
        <f t="shared" ref="AB35:AB37" si="17">AB16</f>
        <v>938.94785681296196</v>
      </c>
      <c r="AC35" s="63">
        <f>AB36*'8.3.1 Metas'!E32/100</f>
        <v>0</v>
      </c>
      <c r="AD35" s="63">
        <f>AC35-AA35</f>
        <v>0</v>
      </c>
      <c r="AG35" s="56">
        <f>AG34+5</f>
        <v>2023</v>
      </c>
      <c r="AH35" s="33"/>
      <c r="AI35" s="33"/>
      <c r="AJ35" s="33"/>
      <c r="AK35" s="33"/>
      <c r="AL35" s="64"/>
      <c r="AM35" s="56">
        <f>AM34+5</f>
        <v>2023</v>
      </c>
      <c r="AN35" s="33"/>
      <c r="AO35" s="33"/>
      <c r="AP35" s="33"/>
      <c r="AQ35" s="33"/>
    </row>
    <row r="36" spans="20:43" x14ac:dyDescent="0.3">
      <c r="T36" s="60">
        <f>T35+5</f>
        <v>2028</v>
      </c>
      <c r="U36" s="63">
        <f>U35+X35</f>
        <v>777.84648633945665</v>
      </c>
      <c r="V36" s="63">
        <f t="shared" si="16"/>
        <v>972.30810792432078</v>
      </c>
      <c r="W36" s="63">
        <f>V37*'8.3.1 Metas'!F15/100</f>
        <v>1022.0320729479009</v>
      </c>
      <c r="X36" s="63">
        <f t="shared" si="15"/>
        <v>244.18558660844428</v>
      </c>
      <c r="Y36" s="88"/>
      <c r="Z36" s="60">
        <f>Z35+5</f>
        <v>2028</v>
      </c>
      <c r="AA36" s="63">
        <f>AA35+AD35</f>
        <v>0</v>
      </c>
      <c r="AB36" s="63">
        <f t="shared" si="17"/>
        <v>972.30810792432078</v>
      </c>
      <c r="AC36" s="63">
        <f>AB37*'8.3.1 Metas'!F32/100</f>
        <v>0</v>
      </c>
      <c r="AD36" s="63">
        <f>AC36-AA36</f>
        <v>0</v>
      </c>
      <c r="AE36" s="19"/>
      <c r="AG36" s="56">
        <f>AG35+5</f>
        <v>2028</v>
      </c>
      <c r="AH36" s="33"/>
      <c r="AI36" s="33"/>
      <c r="AJ36" s="33"/>
      <c r="AK36" s="33"/>
      <c r="AL36" s="64"/>
      <c r="AM36" s="56">
        <f>AM35+5</f>
        <v>2028</v>
      </c>
      <c r="AN36" s="33"/>
      <c r="AO36" s="33"/>
      <c r="AP36" s="33"/>
      <c r="AQ36" s="33"/>
    </row>
    <row r="37" spans="20:43" x14ac:dyDescent="0.3">
      <c r="T37" s="60">
        <f>T36+10</f>
        <v>2038</v>
      </c>
      <c r="U37" s="63">
        <f>U36+X36</f>
        <v>1022.0320729479009</v>
      </c>
      <c r="V37" s="63">
        <f t="shared" si="16"/>
        <v>1022.0320729479009</v>
      </c>
      <c r="W37" s="63">
        <f>V37*'8.3.1 Metas'!F15/100</f>
        <v>1022.0320729479009</v>
      </c>
      <c r="X37" s="63">
        <f t="shared" si="15"/>
        <v>0</v>
      </c>
      <c r="Y37" s="88"/>
      <c r="Z37" s="60">
        <f>Z36+10</f>
        <v>2038</v>
      </c>
      <c r="AA37" s="63">
        <f>AA36+AD36</f>
        <v>0</v>
      </c>
      <c r="AB37" s="63">
        <f t="shared" si="17"/>
        <v>1022.0320729479009</v>
      </c>
      <c r="AC37" s="63">
        <f>AC36</f>
        <v>0</v>
      </c>
      <c r="AD37" s="63">
        <f>AC37-AA37</f>
        <v>0</v>
      </c>
      <c r="AE37" s="19"/>
      <c r="AG37" s="56">
        <f>AG36+10</f>
        <v>2038</v>
      </c>
      <c r="AH37" s="33"/>
      <c r="AI37" s="33"/>
      <c r="AJ37" s="33"/>
      <c r="AK37" s="33"/>
      <c r="AL37" s="64"/>
      <c r="AM37" s="56">
        <f>AM36+10</f>
        <v>2038</v>
      </c>
      <c r="AN37" s="33"/>
      <c r="AO37" s="33"/>
      <c r="AP37" s="33"/>
      <c r="AQ37" s="33"/>
    </row>
    <row r="38" spans="20:43" x14ac:dyDescent="0.3"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</row>
    <row r="39" spans="20:43" x14ac:dyDescent="0.3">
      <c r="T39" s="147" t="s">
        <v>248</v>
      </c>
      <c r="U39" s="147"/>
      <c r="V39" s="147"/>
      <c r="W39" s="147"/>
      <c r="X39" s="147"/>
      <c r="AD39" s="19"/>
      <c r="AG39" s="156" t="s">
        <v>212</v>
      </c>
      <c r="AH39" s="156"/>
      <c r="AI39" s="156"/>
      <c r="AJ39" s="156"/>
      <c r="AK39" s="156"/>
      <c r="AL39" s="64"/>
      <c r="AM39" s="64"/>
      <c r="AN39" s="64"/>
      <c r="AO39" s="64"/>
      <c r="AP39" s="64"/>
      <c r="AQ39" s="67"/>
    </row>
    <row r="40" spans="20:43" x14ac:dyDescent="0.3">
      <c r="T40" s="147" t="s">
        <v>137</v>
      </c>
      <c r="U40" s="147"/>
      <c r="V40" s="147"/>
      <c r="W40" s="147"/>
      <c r="X40" s="147"/>
      <c r="AG40" s="156" t="s">
        <v>129</v>
      </c>
      <c r="AH40" s="156"/>
      <c r="AI40" s="156"/>
      <c r="AJ40" s="156"/>
      <c r="AK40" s="156"/>
      <c r="AL40" s="64"/>
      <c r="AM40" s="64"/>
      <c r="AN40" s="64"/>
      <c r="AO40" s="64"/>
      <c r="AP40" s="64"/>
      <c r="AQ40" s="64"/>
    </row>
    <row r="41" spans="20:43" x14ac:dyDescent="0.3">
      <c r="T41" s="147" t="s">
        <v>117</v>
      </c>
      <c r="U41" s="147"/>
      <c r="V41" s="147"/>
      <c r="W41" s="147"/>
      <c r="X41" s="147"/>
      <c r="AG41" s="156" t="s">
        <v>117</v>
      </c>
      <c r="AH41" s="156"/>
      <c r="AI41" s="156"/>
      <c r="AJ41" s="156"/>
      <c r="AK41" s="156"/>
      <c r="AL41" s="64"/>
      <c r="AM41" s="64"/>
      <c r="AN41" s="64"/>
      <c r="AO41" s="64"/>
      <c r="AP41" s="64"/>
      <c r="AQ41" s="64"/>
    </row>
    <row r="42" spans="20:43" x14ac:dyDescent="0.3">
      <c r="T42" s="148" t="s">
        <v>91</v>
      </c>
      <c r="U42" s="149" t="s">
        <v>92</v>
      </c>
      <c r="V42" s="149"/>
      <c r="W42" s="149"/>
      <c r="X42" s="149"/>
      <c r="AG42" s="157" t="s">
        <v>91</v>
      </c>
      <c r="AH42" s="158" t="s">
        <v>92</v>
      </c>
      <c r="AI42" s="158"/>
      <c r="AJ42" s="158"/>
      <c r="AK42" s="158"/>
      <c r="AL42" s="64"/>
      <c r="AM42" s="64"/>
      <c r="AN42" s="64"/>
      <c r="AO42" s="64"/>
      <c r="AP42" s="64"/>
      <c r="AQ42" s="64"/>
    </row>
    <row r="43" spans="20:43" x14ac:dyDescent="0.3">
      <c r="T43" s="148"/>
      <c r="U43" s="102" t="s">
        <v>114</v>
      </c>
      <c r="V43" s="102" t="s">
        <v>115</v>
      </c>
      <c r="W43" s="102" t="s">
        <v>121</v>
      </c>
      <c r="X43" s="102" t="s">
        <v>186</v>
      </c>
      <c r="AG43" s="157"/>
      <c r="AH43" s="66" t="s">
        <v>114</v>
      </c>
      <c r="AI43" s="66" t="s">
        <v>115</v>
      </c>
      <c r="AJ43" s="66" t="s">
        <v>121</v>
      </c>
      <c r="AK43" s="66" t="s">
        <v>186</v>
      </c>
      <c r="AL43" s="64"/>
      <c r="AM43" s="64"/>
      <c r="AN43" s="64"/>
      <c r="AO43" s="64"/>
      <c r="AP43" s="64"/>
      <c r="AQ43" s="64"/>
    </row>
    <row r="44" spans="20:43" x14ac:dyDescent="0.3">
      <c r="T44" s="60">
        <f>T7</f>
        <v>2018</v>
      </c>
      <c r="U44" s="61">
        <f>V44*'8.3.1 Metas'!C17/100</f>
        <v>2905.0872721483042</v>
      </c>
      <c r="V44" s="63">
        <f>V26</f>
        <v>2905.0872721483042</v>
      </c>
      <c r="W44" s="63">
        <f>V45*'8.3.1 Metas'!D17/100</f>
        <v>3058.8368034964165</v>
      </c>
      <c r="X44" s="63">
        <f>W44-U44</f>
        <v>153.74953134811221</v>
      </c>
      <c r="AG44" s="56">
        <f>AG7</f>
        <v>2018</v>
      </c>
      <c r="AH44" s="57"/>
      <c r="AI44" s="33"/>
      <c r="AJ44" s="33"/>
      <c r="AK44" s="33"/>
      <c r="AL44" s="64"/>
      <c r="AM44" s="64"/>
      <c r="AN44" s="64"/>
      <c r="AO44" s="64"/>
      <c r="AP44" s="64"/>
      <c r="AQ44" s="64"/>
    </row>
    <row r="45" spans="20:43" x14ac:dyDescent="0.3">
      <c r="T45" s="60">
        <f>T44+5</f>
        <v>2023</v>
      </c>
      <c r="U45" s="63">
        <f>U44+X44</f>
        <v>3058.8368034964165</v>
      </c>
      <c r="V45" s="63">
        <f t="shared" ref="V45:V47" si="18">V27</f>
        <v>3058.8368034964165</v>
      </c>
      <c r="W45" s="63">
        <f>V46*'8.3.1 Metas'!E17/100</f>
        <v>3287.8521486543632</v>
      </c>
      <c r="X45" s="63">
        <f>W45-U45</f>
        <v>229.01534515794674</v>
      </c>
      <c r="AG45" s="56">
        <f>AG44+5</f>
        <v>2023</v>
      </c>
      <c r="AH45" s="33"/>
      <c r="AI45" s="33"/>
      <c r="AJ45" s="33"/>
      <c r="AK45" s="33"/>
      <c r="AL45" s="64"/>
      <c r="AM45" s="64"/>
      <c r="AN45" s="64"/>
      <c r="AO45" s="64"/>
      <c r="AP45" s="64"/>
      <c r="AQ45" s="64"/>
    </row>
    <row r="46" spans="20:43" x14ac:dyDescent="0.3">
      <c r="T46" s="60">
        <f>T45+5</f>
        <v>2028</v>
      </c>
      <c r="U46" s="63">
        <f>U45+X45</f>
        <v>3287.8521486543632</v>
      </c>
      <c r="V46" s="63">
        <f t="shared" si="18"/>
        <v>3287.8521486543632</v>
      </c>
      <c r="W46" s="63">
        <f>'8.3.1 Metas'!F17*'Quadros 8.4.1 a 8.4.4'!V47/100</f>
        <v>3645.0754822008907</v>
      </c>
      <c r="X46" s="63">
        <f>W46-U46</f>
        <v>357.22333354652756</v>
      </c>
      <c r="AG46" s="56">
        <f>AG45+5</f>
        <v>2028</v>
      </c>
      <c r="AH46" s="33"/>
      <c r="AI46" s="33"/>
      <c r="AJ46" s="33"/>
      <c r="AK46" s="33"/>
      <c r="AL46" s="64"/>
      <c r="AM46" s="64"/>
      <c r="AN46" s="64"/>
      <c r="AO46" s="64"/>
      <c r="AP46" s="64"/>
      <c r="AQ46" s="64"/>
    </row>
    <row r="47" spans="20:43" x14ac:dyDescent="0.3">
      <c r="T47" s="60">
        <f>T46+10</f>
        <v>2038</v>
      </c>
      <c r="U47" s="63">
        <f>U46+X46</f>
        <v>3645.0754822008907</v>
      </c>
      <c r="V47" s="63">
        <f t="shared" si="18"/>
        <v>3645.0754822008907</v>
      </c>
      <c r="W47" s="63">
        <f>W46</f>
        <v>3645.0754822008907</v>
      </c>
      <c r="X47" s="63">
        <f>W47-U47</f>
        <v>0</v>
      </c>
      <c r="AG47" s="56">
        <f>AG46+10</f>
        <v>2038</v>
      </c>
      <c r="AH47" s="33"/>
      <c r="AI47" s="33"/>
      <c r="AJ47" s="33"/>
      <c r="AK47" s="33"/>
      <c r="AL47" s="64"/>
      <c r="AM47" s="64"/>
      <c r="AN47" s="64"/>
      <c r="AO47" s="64"/>
      <c r="AP47" s="64"/>
      <c r="AQ47" s="64"/>
    </row>
    <row r="48" spans="20:43" x14ac:dyDescent="0.3"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</row>
    <row r="49" spans="20:43" x14ac:dyDescent="0.3">
      <c r="T49" s="147" t="s">
        <v>118</v>
      </c>
      <c r="U49" s="147"/>
      <c r="V49" s="147"/>
      <c r="W49" s="147"/>
      <c r="X49" s="147"/>
      <c r="AG49" s="156" t="s">
        <v>118</v>
      </c>
      <c r="AH49" s="156"/>
      <c r="AI49" s="156"/>
      <c r="AJ49" s="156"/>
      <c r="AK49" s="156"/>
      <c r="AL49" s="64"/>
      <c r="AM49" s="64"/>
      <c r="AN49" s="64"/>
      <c r="AO49" s="64"/>
      <c r="AP49" s="64"/>
      <c r="AQ49" s="64"/>
    </row>
    <row r="50" spans="20:43" x14ac:dyDescent="0.3">
      <c r="T50" s="148" t="s">
        <v>91</v>
      </c>
      <c r="U50" s="149" t="s">
        <v>92</v>
      </c>
      <c r="V50" s="149"/>
      <c r="W50" s="149"/>
      <c r="X50" s="149"/>
      <c r="AG50" s="157" t="s">
        <v>91</v>
      </c>
      <c r="AH50" s="158" t="s">
        <v>92</v>
      </c>
      <c r="AI50" s="158"/>
      <c r="AJ50" s="158"/>
      <c r="AK50" s="158"/>
      <c r="AL50" s="64"/>
      <c r="AM50" s="64"/>
      <c r="AN50" s="64"/>
      <c r="AO50" s="64"/>
      <c r="AP50" s="64"/>
      <c r="AQ50" s="64"/>
    </row>
    <row r="51" spans="20:43" x14ac:dyDescent="0.3">
      <c r="T51" s="148"/>
      <c r="U51" s="102" t="s">
        <v>114</v>
      </c>
      <c r="V51" s="102" t="s">
        <v>115</v>
      </c>
      <c r="W51" s="102" t="s">
        <v>121</v>
      </c>
      <c r="X51" s="102" t="s">
        <v>186</v>
      </c>
      <c r="AG51" s="157"/>
      <c r="AH51" s="66" t="s">
        <v>114</v>
      </c>
      <c r="AI51" s="66" t="s">
        <v>115</v>
      </c>
      <c r="AJ51" s="66" t="s">
        <v>121</v>
      </c>
      <c r="AK51" s="66" t="s">
        <v>186</v>
      </c>
      <c r="AL51" s="64"/>
      <c r="AM51" s="64"/>
      <c r="AN51" s="64"/>
      <c r="AO51" s="64"/>
      <c r="AP51" s="64"/>
      <c r="AQ51" s="64"/>
    </row>
    <row r="52" spans="20:43" x14ac:dyDescent="0.3">
      <c r="T52" s="60">
        <f>T7</f>
        <v>2018</v>
      </c>
      <c r="U52" s="61">
        <f>V52*'8.3.1 Metas'!C17/100</f>
        <v>915.82219865438469</v>
      </c>
      <c r="V52" s="63">
        <f t="shared" ref="V52:V55" si="19">V34</f>
        <v>915.82219865438469</v>
      </c>
      <c r="W52" s="63">
        <f>V53*'8.3.1 Metas'!D17/100</f>
        <v>938.94785681296196</v>
      </c>
      <c r="X52" s="63">
        <f>W52-U52</f>
        <v>23.125658158577266</v>
      </c>
      <c r="AG52" s="56">
        <f>AG7</f>
        <v>2018</v>
      </c>
      <c r="AH52" s="57"/>
      <c r="AI52" s="33"/>
      <c r="AJ52" s="33"/>
      <c r="AK52" s="33"/>
      <c r="AL52" s="64"/>
      <c r="AM52" s="64"/>
      <c r="AN52" s="64"/>
      <c r="AO52" s="64"/>
      <c r="AP52" s="64"/>
      <c r="AQ52" s="64"/>
    </row>
    <row r="53" spans="20:43" x14ac:dyDescent="0.3">
      <c r="T53" s="60">
        <f>T52+5</f>
        <v>2023</v>
      </c>
      <c r="U53" s="63">
        <f>U52+X52</f>
        <v>938.94785681296196</v>
      </c>
      <c r="V53" s="63">
        <f t="shared" si="19"/>
        <v>938.94785681296196</v>
      </c>
      <c r="W53" s="63">
        <f>V54*'8.3.1 Metas'!E17/100</f>
        <v>972.30810792432078</v>
      </c>
      <c r="X53" s="63">
        <f>W53-U53</f>
        <v>33.360251111358821</v>
      </c>
      <c r="AG53" s="56">
        <f>AG52+5</f>
        <v>2023</v>
      </c>
      <c r="AH53" s="33"/>
      <c r="AI53" s="33"/>
      <c r="AJ53" s="33"/>
      <c r="AK53" s="33"/>
      <c r="AL53" s="64"/>
      <c r="AM53" s="64"/>
      <c r="AN53" s="64"/>
      <c r="AO53" s="64"/>
      <c r="AP53" s="64"/>
      <c r="AQ53" s="64"/>
    </row>
    <row r="54" spans="20:43" x14ac:dyDescent="0.3">
      <c r="T54" s="60">
        <f>T53+5</f>
        <v>2028</v>
      </c>
      <c r="U54" s="63">
        <f>U53+X53</f>
        <v>972.30810792432078</v>
      </c>
      <c r="V54" s="63">
        <f t="shared" si="19"/>
        <v>972.30810792432078</v>
      </c>
      <c r="W54" s="63">
        <f>V55*'8.3.1 Metas'!F17/100</f>
        <v>1022.0320729479009</v>
      </c>
      <c r="X54" s="63">
        <f>W54-U54</f>
        <v>49.723965023580149</v>
      </c>
      <c r="AG54" s="56">
        <f>AG53+5</f>
        <v>2028</v>
      </c>
      <c r="AH54" s="33"/>
      <c r="AI54" s="33"/>
      <c r="AJ54" s="33"/>
      <c r="AK54" s="33"/>
      <c r="AL54" s="64"/>
      <c r="AM54" s="64"/>
      <c r="AN54" s="64"/>
      <c r="AO54" s="64"/>
      <c r="AP54" s="64"/>
      <c r="AQ54" s="64"/>
    </row>
    <row r="55" spans="20:43" x14ac:dyDescent="0.3">
      <c r="T55" s="60">
        <f>T54+10</f>
        <v>2038</v>
      </c>
      <c r="U55" s="63">
        <f>U54+X54</f>
        <v>1022.0320729479009</v>
      </c>
      <c r="V55" s="63">
        <f t="shared" si="19"/>
        <v>1022.0320729479009</v>
      </c>
      <c r="W55" s="63">
        <f>W54</f>
        <v>1022.0320729479009</v>
      </c>
      <c r="X55" s="63">
        <f>W55-U55</f>
        <v>0</v>
      </c>
      <c r="AG55" s="56">
        <f>AG54+10</f>
        <v>2038</v>
      </c>
      <c r="AH55" s="33"/>
      <c r="AI55" s="33"/>
      <c r="AJ55" s="33"/>
      <c r="AK55" s="33"/>
      <c r="AL55" s="64"/>
      <c r="AM55" s="64"/>
      <c r="AN55" s="64"/>
      <c r="AO55" s="64"/>
      <c r="AP55" s="64"/>
      <c r="AQ55" s="64"/>
    </row>
  </sheetData>
  <mergeCells count="83">
    <mergeCell ref="T39:X39"/>
    <mergeCell ref="AG50:AG51"/>
    <mergeCell ref="AH50:AK50"/>
    <mergeCell ref="T2:AD2"/>
    <mergeCell ref="AG2:AQ2"/>
    <mergeCell ref="AG39:AK39"/>
    <mergeCell ref="AG40:AK40"/>
    <mergeCell ref="AG41:AK41"/>
    <mergeCell ref="AG42:AG43"/>
    <mergeCell ref="AH42:AK42"/>
    <mergeCell ref="AG49:AK49"/>
    <mergeCell ref="AG31:AK31"/>
    <mergeCell ref="AM31:AQ31"/>
    <mergeCell ref="AG32:AG33"/>
    <mergeCell ref="AH32:AK32"/>
    <mergeCell ref="AM32:AM33"/>
    <mergeCell ref="AN32:AQ32"/>
    <mergeCell ref="AG22:AK22"/>
    <mergeCell ref="AM22:AQ22"/>
    <mergeCell ref="AG23:AK23"/>
    <mergeCell ref="AM23:AQ23"/>
    <mergeCell ref="AG24:AG25"/>
    <mergeCell ref="AH24:AK24"/>
    <mergeCell ref="AM24:AM25"/>
    <mergeCell ref="AN24:AQ24"/>
    <mergeCell ref="AG12:AK12"/>
    <mergeCell ref="AM12:AQ12"/>
    <mergeCell ref="AG13:AG14"/>
    <mergeCell ref="AH13:AK13"/>
    <mergeCell ref="AM13:AM14"/>
    <mergeCell ref="AN13:AQ13"/>
    <mergeCell ref="AG3:AK3"/>
    <mergeCell ref="AM3:AQ3"/>
    <mergeCell ref="AG4:AK4"/>
    <mergeCell ref="AM4:AQ4"/>
    <mergeCell ref="AG5:AG6"/>
    <mergeCell ref="AH5:AK5"/>
    <mergeCell ref="AM5:AM6"/>
    <mergeCell ref="AN5:AQ5"/>
    <mergeCell ref="U5:X5"/>
    <mergeCell ref="T4:X4"/>
    <mergeCell ref="C3:E3"/>
    <mergeCell ref="B3:B4"/>
    <mergeCell ref="K3:M3"/>
    <mergeCell ref="F3:H3"/>
    <mergeCell ref="J3:J4"/>
    <mergeCell ref="T13:T14"/>
    <mergeCell ref="O3:O4"/>
    <mergeCell ref="P3:R3"/>
    <mergeCell ref="J2:R2"/>
    <mergeCell ref="B2:H2"/>
    <mergeCell ref="U42:X42"/>
    <mergeCell ref="Z3:AD3"/>
    <mergeCell ref="Z4:AD4"/>
    <mergeCell ref="Z5:Z6"/>
    <mergeCell ref="AA5:AD5"/>
    <mergeCell ref="Z12:AD12"/>
    <mergeCell ref="Z13:Z14"/>
    <mergeCell ref="AA13:AD13"/>
    <mergeCell ref="T23:X23"/>
    <mergeCell ref="T24:T25"/>
    <mergeCell ref="U24:X24"/>
    <mergeCell ref="T22:X22"/>
    <mergeCell ref="T12:X12"/>
    <mergeCell ref="U13:X13"/>
    <mergeCell ref="T3:X3"/>
    <mergeCell ref="T5:T6"/>
    <mergeCell ref="T49:X49"/>
    <mergeCell ref="T50:T51"/>
    <mergeCell ref="U50:X50"/>
    <mergeCell ref="Z22:AD22"/>
    <mergeCell ref="Z23:AD23"/>
    <mergeCell ref="Z24:Z25"/>
    <mergeCell ref="AA24:AD24"/>
    <mergeCell ref="Z31:AD31"/>
    <mergeCell ref="Z32:Z33"/>
    <mergeCell ref="AA32:AD32"/>
    <mergeCell ref="T31:X31"/>
    <mergeCell ref="T32:T33"/>
    <mergeCell ref="U32:X32"/>
    <mergeCell ref="T40:X40"/>
    <mergeCell ref="T41:X41"/>
    <mergeCell ref="T42:T4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41"/>
  <sheetViews>
    <sheetView topLeftCell="AC16" workbookViewId="0">
      <selection activeCell="AN13" sqref="AN13:AP13"/>
    </sheetView>
  </sheetViews>
  <sheetFormatPr defaultRowHeight="14.4" x14ac:dyDescent="0.3"/>
  <cols>
    <col min="3" max="3" width="8.88671875" bestFit="1" customWidth="1"/>
    <col min="12" max="12" width="9.33203125" bestFit="1" customWidth="1"/>
    <col min="19" max="19" width="10.44140625" bestFit="1" customWidth="1"/>
    <col min="24" max="24" width="9.33203125" bestFit="1" customWidth="1"/>
    <col min="25" max="25" width="10.44140625" bestFit="1" customWidth="1"/>
    <col min="31" max="31" width="10.44140625" bestFit="1" customWidth="1"/>
    <col min="33" max="33" width="24.77734375" bestFit="1" customWidth="1"/>
    <col min="34" max="38" width="8.88671875" bestFit="1" customWidth="1"/>
    <col min="39" max="43" width="10.44140625" bestFit="1" customWidth="1"/>
    <col min="44" max="44" width="8.88671875" bestFit="1" customWidth="1"/>
    <col min="45" max="46" width="10.44140625" bestFit="1" customWidth="1"/>
    <col min="52" max="52" width="9.33203125" bestFit="1" customWidth="1"/>
    <col min="59" max="59" width="10.44140625" bestFit="1" customWidth="1"/>
    <col min="64" max="64" width="9.33203125" bestFit="1" customWidth="1"/>
    <col min="65" max="65" width="10.44140625" bestFit="1" customWidth="1"/>
    <col min="71" max="71" width="10.44140625" bestFit="1" customWidth="1"/>
  </cols>
  <sheetData>
    <row r="1" spans="2:71" x14ac:dyDescent="0.3">
      <c r="I1" s="147" t="s">
        <v>213</v>
      </c>
      <c r="J1" s="147"/>
      <c r="K1" s="147"/>
      <c r="L1" s="147"/>
      <c r="M1" s="147"/>
      <c r="N1" s="147"/>
      <c r="O1" s="147"/>
      <c r="P1" s="147"/>
      <c r="Q1" s="147"/>
      <c r="R1" s="147"/>
      <c r="S1" s="147"/>
      <c r="U1" s="147" t="s">
        <v>220</v>
      </c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G1" s="147" t="s">
        <v>231</v>
      </c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W1" s="153" t="s">
        <v>213</v>
      </c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I1" s="153" t="s">
        <v>220</v>
      </c>
      <c r="BJ1" s="153"/>
      <c r="BK1" s="153"/>
      <c r="BL1" s="153"/>
      <c r="BM1" s="153"/>
      <c r="BN1" s="153"/>
      <c r="BO1" s="153"/>
      <c r="BP1" s="153"/>
      <c r="BQ1" s="153"/>
      <c r="BR1" s="153"/>
      <c r="BS1" s="153"/>
    </row>
    <row r="2" spans="2:71" x14ac:dyDescent="0.3">
      <c r="B2" s="167" t="s">
        <v>119</v>
      </c>
      <c r="C2" s="167"/>
      <c r="D2" s="167"/>
      <c r="E2" s="167"/>
      <c r="F2" s="167"/>
      <c r="G2" s="44"/>
      <c r="I2" s="147" t="s">
        <v>127</v>
      </c>
      <c r="J2" s="147"/>
      <c r="K2" s="147"/>
      <c r="L2" s="147"/>
      <c r="M2" s="147"/>
      <c r="N2" s="88"/>
      <c r="O2" s="147" t="s">
        <v>128</v>
      </c>
      <c r="P2" s="147"/>
      <c r="Q2" s="147"/>
      <c r="R2" s="147"/>
      <c r="S2" s="147"/>
      <c r="U2" s="147" t="s">
        <v>127</v>
      </c>
      <c r="V2" s="147"/>
      <c r="W2" s="147"/>
      <c r="X2" s="147"/>
      <c r="Y2" s="147"/>
      <c r="Z2" s="88"/>
      <c r="AA2" s="147" t="s">
        <v>128</v>
      </c>
      <c r="AB2" s="147"/>
      <c r="AC2" s="147"/>
      <c r="AD2" s="147"/>
      <c r="AE2" s="147"/>
      <c r="AG2" s="147" t="s">
        <v>134</v>
      </c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W2" s="153" t="s">
        <v>127</v>
      </c>
      <c r="AX2" s="153"/>
      <c r="AY2" s="153"/>
      <c r="AZ2" s="153"/>
      <c r="BA2" s="153"/>
      <c r="BC2" s="153" t="s">
        <v>128</v>
      </c>
      <c r="BD2" s="153"/>
      <c r="BE2" s="153"/>
      <c r="BF2" s="153"/>
      <c r="BG2" s="153"/>
      <c r="BI2" s="153" t="s">
        <v>127</v>
      </c>
      <c r="BJ2" s="153"/>
      <c r="BK2" s="153"/>
      <c r="BL2" s="153"/>
      <c r="BM2" s="153"/>
      <c r="BO2" s="153" t="s">
        <v>128</v>
      </c>
      <c r="BP2" s="153"/>
      <c r="BQ2" s="153"/>
      <c r="BR2" s="153"/>
      <c r="BS2" s="153"/>
    </row>
    <row r="3" spans="2:71" x14ac:dyDescent="0.3">
      <c r="B3" s="167" t="s">
        <v>117</v>
      </c>
      <c r="C3" s="167"/>
      <c r="D3" s="167"/>
      <c r="E3" s="167"/>
      <c r="F3" s="167"/>
      <c r="G3" s="44"/>
      <c r="I3" s="161" t="s">
        <v>187</v>
      </c>
      <c r="J3" s="161"/>
      <c r="K3" s="161"/>
      <c r="L3" s="161"/>
      <c r="M3" s="161"/>
      <c r="N3" s="88"/>
      <c r="O3" s="161" t="s">
        <v>187</v>
      </c>
      <c r="P3" s="161"/>
      <c r="Q3" s="161"/>
      <c r="R3" s="161"/>
      <c r="S3" s="161"/>
      <c r="U3" s="161" t="s">
        <v>130</v>
      </c>
      <c r="V3" s="161"/>
      <c r="W3" s="161"/>
      <c r="X3" s="161"/>
      <c r="Y3" s="161"/>
      <c r="Z3" s="88"/>
      <c r="AA3" s="161" t="s">
        <v>130</v>
      </c>
      <c r="AB3" s="161"/>
      <c r="AC3" s="161"/>
      <c r="AD3" s="161"/>
      <c r="AE3" s="161"/>
      <c r="AG3" s="148" t="s">
        <v>131</v>
      </c>
      <c r="AH3" s="165" t="s">
        <v>214</v>
      </c>
      <c r="AI3" s="149"/>
      <c r="AJ3" s="149"/>
      <c r="AK3" s="165" t="s">
        <v>215</v>
      </c>
      <c r="AL3" s="149"/>
      <c r="AM3" s="149"/>
      <c r="AN3" s="149" t="s">
        <v>216</v>
      </c>
      <c r="AO3" s="149"/>
      <c r="AP3" s="149"/>
      <c r="AQ3" s="149" t="s">
        <v>126</v>
      </c>
      <c r="AR3" s="149"/>
      <c r="AS3" s="149"/>
      <c r="AW3" s="171" t="s">
        <v>187</v>
      </c>
      <c r="AX3" s="171"/>
      <c r="AY3" s="171"/>
      <c r="AZ3" s="171"/>
      <c r="BA3" s="171"/>
      <c r="BC3" s="171" t="s">
        <v>187</v>
      </c>
      <c r="BD3" s="171"/>
      <c r="BE3" s="171"/>
      <c r="BF3" s="171"/>
      <c r="BG3" s="171"/>
      <c r="BI3" s="171" t="s">
        <v>130</v>
      </c>
      <c r="BJ3" s="171"/>
      <c r="BK3" s="171"/>
      <c r="BL3" s="171"/>
      <c r="BM3" s="171"/>
      <c r="BO3" s="171" t="s">
        <v>130</v>
      </c>
      <c r="BP3" s="171"/>
      <c r="BQ3" s="171"/>
      <c r="BR3" s="171"/>
      <c r="BS3" s="171"/>
    </row>
    <row r="4" spans="2:71" ht="14.4" customHeight="1" x14ac:dyDescent="0.3">
      <c r="B4" s="166" t="s">
        <v>91</v>
      </c>
      <c r="C4" s="167" t="s">
        <v>92</v>
      </c>
      <c r="D4" s="167"/>
      <c r="E4" s="167"/>
      <c r="F4" s="167"/>
      <c r="G4" s="44"/>
      <c r="H4" s="168" t="s">
        <v>124</v>
      </c>
      <c r="I4" s="148" t="s">
        <v>91</v>
      </c>
      <c r="J4" s="159" t="s">
        <v>142</v>
      </c>
      <c r="K4" s="159" t="s">
        <v>143</v>
      </c>
      <c r="L4" s="159" t="s">
        <v>144</v>
      </c>
      <c r="M4" s="159" t="s">
        <v>145</v>
      </c>
      <c r="N4" s="88"/>
      <c r="O4" s="148" t="s">
        <v>91</v>
      </c>
      <c r="P4" s="159" t="s">
        <v>142</v>
      </c>
      <c r="Q4" s="159" t="s">
        <v>143</v>
      </c>
      <c r="R4" s="159" t="s">
        <v>144</v>
      </c>
      <c r="S4" s="159" t="s">
        <v>145</v>
      </c>
      <c r="U4" s="148" t="s">
        <v>91</v>
      </c>
      <c r="V4" s="159" t="s">
        <v>142</v>
      </c>
      <c r="W4" s="159" t="s">
        <v>143</v>
      </c>
      <c r="X4" s="159" t="s">
        <v>144</v>
      </c>
      <c r="Y4" s="159" t="s">
        <v>145</v>
      </c>
      <c r="Z4" s="88"/>
      <c r="AA4" s="148" t="s">
        <v>91</v>
      </c>
      <c r="AB4" s="159" t="s">
        <v>142</v>
      </c>
      <c r="AC4" s="159" t="s">
        <v>143</v>
      </c>
      <c r="AD4" s="159" t="s">
        <v>144</v>
      </c>
      <c r="AE4" s="159" t="s">
        <v>145</v>
      </c>
      <c r="AG4" s="148" t="s">
        <v>131</v>
      </c>
      <c r="AH4" s="102" t="s">
        <v>3</v>
      </c>
      <c r="AI4" s="102" t="s">
        <v>4</v>
      </c>
      <c r="AJ4" s="102" t="s">
        <v>5</v>
      </c>
      <c r="AK4" s="102" t="s">
        <v>3</v>
      </c>
      <c r="AL4" s="102" t="s">
        <v>4</v>
      </c>
      <c r="AM4" s="102" t="s">
        <v>5</v>
      </c>
      <c r="AN4" s="102" t="s">
        <v>3</v>
      </c>
      <c r="AO4" s="102" t="s">
        <v>4</v>
      </c>
      <c r="AP4" s="102" t="s">
        <v>5</v>
      </c>
      <c r="AQ4" s="102" t="s">
        <v>3</v>
      </c>
      <c r="AR4" s="102" t="s">
        <v>4</v>
      </c>
      <c r="AS4" s="102" t="s">
        <v>5</v>
      </c>
      <c r="AW4" s="154" t="s">
        <v>91</v>
      </c>
      <c r="AX4" s="170" t="s">
        <v>142</v>
      </c>
      <c r="AY4" s="170" t="s">
        <v>143</v>
      </c>
      <c r="AZ4" s="170" t="s">
        <v>144</v>
      </c>
      <c r="BA4" s="170" t="s">
        <v>145</v>
      </c>
      <c r="BC4" s="154" t="s">
        <v>91</v>
      </c>
      <c r="BD4" s="170" t="s">
        <v>142</v>
      </c>
      <c r="BE4" s="170" t="s">
        <v>143</v>
      </c>
      <c r="BF4" s="170" t="s">
        <v>144</v>
      </c>
      <c r="BG4" s="170" t="s">
        <v>145</v>
      </c>
      <c r="BI4" s="154" t="s">
        <v>91</v>
      </c>
      <c r="BJ4" s="170" t="s">
        <v>142</v>
      </c>
      <c r="BK4" s="170" t="s">
        <v>143</v>
      </c>
      <c r="BL4" s="170" t="s">
        <v>144</v>
      </c>
      <c r="BM4" s="170" t="s">
        <v>145</v>
      </c>
      <c r="BO4" s="154" t="s">
        <v>91</v>
      </c>
      <c r="BP4" s="170" t="s">
        <v>142</v>
      </c>
      <c r="BQ4" s="170" t="s">
        <v>143</v>
      </c>
      <c r="BR4" s="170" t="s">
        <v>144</v>
      </c>
      <c r="BS4" s="170" t="s">
        <v>145</v>
      </c>
    </row>
    <row r="5" spans="2:71" ht="14.4" customHeight="1" x14ac:dyDescent="0.3">
      <c r="B5" s="166"/>
      <c r="C5" s="44" t="s">
        <v>114</v>
      </c>
      <c r="D5" s="44" t="s">
        <v>115</v>
      </c>
      <c r="E5" s="44" t="s">
        <v>121</v>
      </c>
      <c r="F5" s="44" t="s">
        <v>122</v>
      </c>
      <c r="G5" s="44"/>
      <c r="H5" s="169"/>
      <c r="I5" s="148"/>
      <c r="J5" s="159"/>
      <c r="K5" s="159" t="s">
        <v>116</v>
      </c>
      <c r="L5" s="159" t="s">
        <v>125</v>
      </c>
      <c r="M5" s="159"/>
      <c r="N5" s="88"/>
      <c r="O5" s="148"/>
      <c r="P5" s="159"/>
      <c r="Q5" s="159" t="s">
        <v>116</v>
      </c>
      <c r="R5" s="159" t="s">
        <v>125</v>
      </c>
      <c r="S5" s="159"/>
      <c r="U5" s="148"/>
      <c r="V5" s="159"/>
      <c r="W5" s="159" t="s">
        <v>116</v>
      </c>
      <c r="X5" s="159" t="s">
        <v>125</v>
      </c>
      <c r="Y5" s="159"/>
      <c r="Z5" s="88"/>
      <c r="AA5" s="148"/>
      <c r="AB5" s="159"/>
      <c r="AC5" s="159" t="s">
        <v>116</v>
      </c>
      <c r="AD5" s="159" t="s">
        <v>125</v>
      </c>
      <c r="AE5" s="159"/>
      <c r="AG5" s="92" t="s">
        <v>135</v>
      </c>
      <c r="AH5" s="97">
        <f>M6</f>
        <v>119924.63445152753</v>
      </c>
      <c r="AI5" s="97">
        <v>0</v>
      </c>
      <c r="AJ5" s="97">
        <f>AH5+AI5</f>
        <v>119924.63445152753</v>
      </c>
      <c r="AK5" s="97">
        <f>M7</f>
        <v>178631.96922319845</v>
      </c>
      <c r="AL5" s="97">
        <v>0</v>
      </c>
      <c r="AM5" s="97">
        <f>AK5+AL5</f>
        <v>178631.96922319845</v>
      </c>
      <c r="AN5" s="97">
        <f>M8</f>
        <v>278634.2001662915</v>
      </c>
      <c r="AO5" s="97">
        <v>0</v>
      </c>
      <c r="AP5" s="97">
        <f>AN5+AO5</f>
        <v>278634.2001662915</v>
      </c>
      <c r="AQ5" s="97">
        <f>AN5+AK5+AH5</f>
        <v>577190.80384101742</v>
      </c>
      <c r="AR5" s="97">
        <f>AO5+AL5+AI5</f>
        <v>0</v>
      </c>
      <c r="AS5" s="97">
        <f>AP5+AM5+AJ5</f>
        <v>577190.80384101742</v>
      </c>
      <c r="AT5" s="15">
        <f>AS5-M10</f>
        <v>0</v>
      </c>
      <c r="AW5" s="154"/>
      <c r="AX5" s="170"/>
      <c r="AY5" s="170" t="s">
        <v>116</v>
      </c>
      <c r="AZ5" s="170" t="s">
        <v>125</v>
      </c>
      <c r="BA5" s="170"/>
      <c r="BC5" s="154"/>
      <c r="BD5" s="170"/>
      <c r="BE5" s="170" t="s">
        <v>116</v>
      </c>
      <c r="BF5" s="170" t="s">
        <v>125</v>
      </c>
      <c r="BG5" s="170"/>
      <c r="BI5" s="154"/>
      <c r="BJ5" s="170"/>
      <c r="BK5" s="170" t="s">
        <v>116</v>
      </c>
      <c r="BL5" s="170" t="s">
        <v>125</v>
      </c>
      <c r="BM5" s="170"/>
      <c r="BO5" s="154"/>
      <c r="BP5" s="170"/>
      <c r="BQ5" s="170" t="s">
        <v>116</v>
      </c>
      <c r="BR5" s="170" t="s">
        <v>125</v>
      </c>
      <c r="BS5" s="170"/>
    </row>
    <row r="6" spans="2:71" x14ac:dyDescent="0.3">
      <c r="B6" s="76">
        <f>'Quadros 8.4.1 a 8.4.4'!T7</f>
        <v>2018</v>
      </c>
      <c r="C6" s="76">
        <f>'Quadros 8.4.1 a 8.4.4'!U7</f>
        <v>2905.0872721483042</v>
      </c>
      <c r="D6" s="76">
        <f>'Quadros 8.4.1 a 8.4.4'!V7</f>
        <v>2905.0872721483042</v>
      </c>
      <c r="E6" s="76">
        <f>'Quadros 8.4.1 a 8.4.4'!W7</f>
        <v>3058.8368034964165</v>
      </c>
      <c r="F6" s="76">
        <f>'Quadros 8.4.1 a 8.4.4'!X7</f>
        <v>153.74953134811221</v>
      </c>
      <c r="G6" s="44"/>
      <c r="I6" s="63">
        <f>B6</f>
        <v>2018</v>
      </c>
      <c r="J6" s="62">
        <f>C6</f>
        <v>2905.0872721483042</v>
      </c>
      <c r="K6" s="62">
        <f>F6</f>
        <v>153.74953134811221</v>
      </c>
      <c r="L6" s="54">
        <v>780</v>
      </c>
      <c r="M6" s="63">
        <f>K6*L6</f>
        <v>119924.63445152753</v>
      </c>
      <c r="N6" s="88"/>
      <c r="O6" s="60">
        <v>2018</v>
      </c>
      <c r="P6" s="63">
        <f>J6</f>
        <v>2905.0872721483042</v>
      </c>
      <c r="Q6" s="61">
        <f>P8*0.1</f>
        <v>364.50754822008912</v>
      </c>
      <c r="R6" s="54">
        <v>780</v>
      </c>
      <c r="S6" s="63">
        <f>Q6*R6</f>
        <v>284315.88761166949</v>
      </c>
      <c r="U6" s="60">
        <f>B6</f>
        <v>2018</v>
      </c>
      <c r="V6" s="62">
        <f>P6</f>
        <v>2905.0872721483042</v>
      </c>
      <c r="W6" s="62">
        <f>K6</f>
        <v>153.74953134811221</v>
      </c>
      <c r="X6" s="54">
        <v>315</v>
      </c>
      <c r="Y6" s="63">
        <f>W6*X6</f>
        <v>48431.102374655347</v>
      </c>
      <c r="Z6" s="88"/>
      <c r="AA6" s="60">
        <f>U6</f>
        <v>2018</v>
      </c>
      <c r="AB6" s="63">
        <f>V6</f>
        <v>2905.0872721483042</v>
      </c>
      <c r="AC6" s="61">
        <f>AB8*0.1</f>
        <v>364.50754822008912</v>
      </c>
      <c r="AD6" s="54">
        <v>315</v>
      </c>
      <c r="AE6" s="63">
        <f>AC6*AD6</f>
        <v>114819.87768932807</v>
      </c>
      <c r="AG6" s="92" t="s">
        <v>136</v>
      </c>
      <c r="AH6" s="97">
        <v>0</v>
      </c>
      <c r="AI6" s="97">
        <f>M17</f>
        <v>75078.320575342688</v>
      </c>
      <c r="AJ6" s="97">
        <f t="shared" ref="AJ6:AJ9" si="0">AH6+AI6</f>
        <v>75078.320575342688</v>
      </c>
      <c r="AK6" s="97">
        <v>0</v>
      </c>
      <c r="AL6" s="97">
        <f>M18</f>
        <v>10508.479100078028</v>
      </c>
      <c r="AM6" s="97">
        <f t="shared" ref="AM6:AM9" si="1">AK6+AL6</f>
        <v>10508.479100078028</v>
      </c>
      <c r="AN6" s="97">
        <v>0</v>
      </c>
      <c r="AO6" s="97">
        <f>M19</f>
        <v>15663.048982427747</v>
      </c>
      <c r="AP6" s="97">
        <f t="shared" ref="AP6:AP9" si="2">AN6+AO6</f>
        <v>15663.048982427747</v>
      </c>
      <c r="AQ6" s="97">
        <f t="shared" ref="AQ6:AQ8" si="3">AN6+AK6+AH6</f>
        <v>0</v>
      </c>
      <c r="AR6" s="97">
        <f t="shared" ref="AR6:AR8" si="4">AO6+AL6+AI6</f>
        <v>101249.84865784846</v>
      </c>
      <c r="AS6" s="97">
        <f t="shared" ref="AS6:AS8" si="5">AP6+AM6+AJ6</f>
        <v>101249.84865784846</v>
      </c>
      <c r="AT6" s="15">
        <f>AR6-M21</f>
        <v>0</v>
      </c>
      <c r="AU6" s="15"/>
      <c r="AW6" s="22"/>
      <c r="AX6" s="22"/>
      <c r="AY6" s="22"/>
      <c r="AZ6" s="22"/>
      <c r="BA6" s="22"/>
      <c r="BC6" s="22"/>
      <c r="BD6" s="22"/>
      <c r="BE6" s="22"/>
      <c r="BF6" s="22"/>
      <c r="BG6" s="22"/>
      <c r="BI6" s="22"/>
      <c r="BJ6" s="22"/>
      <c r="BK6" s="22"/>
      <c r="BL6" s="22"/>
      <c r="BM6" s="22"/>
      <c r="BO6" s="22"/>
      <c r="BP6" s="22"/>
      <c r="BQ6" s="22"/>
      <c r="BR6" s="22"/>
      <c r="BS6" s="22"/>
    </row>
    <row r="7" spans="2:71" x14ac:dyDescent="0.3">
      <c r="B7" s="76">
        <f>B6+5</f>
        <v>2023</v>
      </c>
      <c r="C7" s="76">
        <f>'Quadros 8.4.1 a 8.4.4'!U8</f>
        <v>3058.8368034964165</v>
      </c>
      <c r="D7" s="76">
        <f>'Quadros 8.4.1 a 8.4.4'!V8</f>
        <v>3058.8368034964165</v>
      </c>
      <c r="E7" s="76">
        <f>'Quadros 8.4.1 a 8.4.4'!W8</f>
        <v>3287.8521486543632</v>
      </c>
      <c r="F7" s="76">
        <f>'Quadros 8.4.1 a 8.4.4'!X8</f>
        <v>229.01534515794674</v>
      </c>
      <c r="G7" s="44"/>
      <c r="I7" s="63">
        <f>I6+5</f>
        <v>2023</v>
      </c>
      <c r="J7" s="62">
        <f>E7</f>
        <v>3287.8521486543632</v>
      </c>
      <c r="K7" s="62">
        <f>F7</f>
        <v>229.01534515794674</v>
      </c>
      <c r="L7" s="54">
        <v>780</v>
      </c>
      <c r="M7" s="63">
        <f>K7*L7</f>
        <v>178631.96922319845</v>
      </c>
      <c r="N7" s="88"/>
      <c r="O7" s="60">
        <f>O6+5</f>
        <v>2023</v>
      </c>
      <c r="P7" s="63">
        <f>J7</f>
        <v>3287.8521486543632</v>
      </c>
      <c r="Q7" s="61">
        <f>P8*0.1</f>
        <v>364.50754822008912</v>
      </c>
      <c r="R7" s="54">
        <v>780</v>
      </c>
      <c r="S7" s="63">
        <f>Q7*R7</f>
        <v>284315.88761166949</v>
      </c>
      <c r="U7" s="60">
        <f>U6+5</f>
        <v>2023</v>
      </c>
      <c r="V7" s="62">
        <f>P7</f>
        <v>3287.8521486543632</v>
      </c>
      <c r="W7" s="62">
        <f>K7</f>
        <v>229.01534515794674</v>
      </c>
      <c r="X7" s="54">
        <v>315</v>
      </c>
      <c r="Y7" s="63">
        <f>W7*X7</f>
        <v>72139.833724753218</v>
      </c>
      <c r="Z7" s="88"/>
      <c r="AA7" s="60">
        <f>AA6+5</f>
        <v>2023</v>
      </c>
      <c r="AB7" s="63">
        <f>V7</f>
        <v>3287.8521486543632</v>
      </c>
      <c r="AC7" s="61">
        <f>AB8*0.1</f>
        <v>364.50754822008912</v>
      </c>
      <c r="AD7" s="54">
        <v>315</v>
      </c>
      <c r="AE7" s="63">
        <f>AC7*AD7</f>
        <v>114819.87768932807</v>
      </c>
      <c r="AG7" s="92" t="s">
        <v>137</v>
      </c>
      <c r="AH7" s="97">
        <f>M29</f>
        <v>16143.700791551782</v>
      </c>
      <c r="AI7" s="97">
        <f>M37</f>
        <v>2428.1941066506133</v>
      </c>
      <c r="AJ7" s="97">
        <f t="shared" si="0"/>
        <v>18571.894898202394</v>
      </c>
      <c r="AK7" s="97">
        <f>M30</f>
        <v>24046.611241584411</v>
      </c>
      <c r="AL7" s="97">
        <f>M38</f>
        <v>3502.8263666926759</v>
      </c>
      <c r="AM7" s="97">
        <f t="shared" si="1"/>
        <v>27549.437608277087</v>
      </c>
      <c r="AN7" s="97">
        <f>M31</f>
        <v>37508.45002238539</v>
      </c>
      <c r="AO7" s="97">
        <f>M39</f>
        <v>5221.0163274759161</v>
      </c>
      <c r="AP7" s="97">
        <f t="shared" si="2"/>
        <v>42729.466349861308</v>
      </c>
      <c r="AQ7" s="97">
        <f t="shared" si="3"/>
        <v>77698.762055521584</v>
      </c>
      <c r="AR7" s="97">
        <f t="shared" si="4"/>
        <v>11152.036800819205</v>
      </c>
      <c r="AS7" s="97">
        <f t="shared" si="5"/>
        <v>88850.798856340785</v>
      </c>
      <c r="AT7" s="15">
        <f>AQ7-M33</f>
        <v>0</v>
      </c>
      <c r="AU7" s="15">
        <f>AR7-M41</f>
        <v>0</v>
      </c>
      <c r="AW7" s="22"/>
      <c r="AX7" s="22"/>
      <c r="AY7" s="22"/>
      <c r="AZ7" s="22"/>
      <c r="BA7" s="22"/>
      <c r="BC7" s="22"/>
      <c r="BD7" s="22"/>
      <c r="BE7" s="22"/>
      <c r="BF7" s="22"/>
      <c r="BG7" s="22"/>
      <c r="BI7" s="22"/>
      <c r="BJ7" s="22"/>
      <c r="BK7" s="22"/>
      <c r="BL7" s="22"/>
      <c r="BM7" s="22"/>
      <c r="BO7" s="22"/>
      <c r="BP7" s="22"/>
      <c r="BQ7" s="22"/>
      <c r="BR7" s="22"/>
      <c r="BS7" s="22"/>
    </row>
    <row r="8" spans="2:71" x14ac:dyDescent="0.3">
      <c r="B8" s="76">
        <f>B7+5</f>
        <v>2028</v>
      </c>
      <c r="C8" s="76">
        <f>'Quadros 8.4.1 a 8.4.4'!U9</f>
        <v>3287.8521486543632</v>
      </c>
      <c r="D8" s="76">
        <f>'Quadros 8.4.1 a 8.4.4'!V9</f>
        <v>3287.8521486543632</v>
      </c>
      <c r="E8" s="76">
        <f>'Quadros 8.4.1 a 8.4.4'!W9</f>
        <v>3645.0754822008907</v>
      </c>
      <c r="F8" s="76">
        <f>'Quadros 8.4.1 a 8.4.4'!X9</f>
        <v>357.22333354652756</v>
      </c>
      <c r="G8" s="44"/>
      <c r="I8" s="63">
        <f>I7+5</f>
        <v>2028</v>
      </c>
      <c r="J8" s="62">
        <f>E8</f>
        <v>3645.0754822008907</v>
      </c>
      <c r="K8" s="62">
        <f>F8</f>
        <v>357.22333354652756</v>
      </c>
      <c r="L8" s="54">
        <v>780</v>
      </c>
      <c r="M8" s="63">
        <f>K8*L8</f>
        <v>278634.2001662915</v>
      </c>
      <c r="N8" s="88"/>
      <c r="O8" s="60">
        <f>O7+5</f>
        <v>2028</v>
      </c>
      <c r="P8" s="63">
        <f>J8</f>
        <v>3645.0754822008907</v>
      </c>
      <c r="Q8" s="61">
        <f>P8*0.2</f>
        <v>729.01509644017824</v>
      </c>
      <c r="R8" s="54">
        <v>780</v>
      </c>
      <c r="S8" s="63">
        <f>Q8*R8</f>
        <v>568631.77522333898</v>
      </c>
      <c r="U8" s="60">
        <f>U7+5</f>
        <v>2028</v>
      </c>
      <c r="V8" s="62">
        <f>P8</f>
        <v>3645.0754822008907</v>
      </c>
      <c r="W8" s="62">
        <f>K8</f>
        <v>357.22333354652756</v>
      </c>
      <c r="X8" s="54">
        <v>315</v>
      </c>
      <c r="Y8" s="63">
        <f>W8*X8</f>
        <v>112525.35006715618</v>
      </c>
      <c r="Z8" s="88"/>
      <c r="AA8" s="60">
        <f>AA7+5</f>
        <v>2028</v>
      </c>
      <c r="AB8" s="63">
        <f>V8</f>
        <v>3645.0754822008907</v>
      </c>
      <c r="AC8" s="61">
        <f>AB8*0.2</f>
        <v>729.01509644017824</v>
      </c>
      <c r="AD8" s="54">
        <v>315</v>
      </c>
      <c r="AE8" s="63">
        <f>AC8*AD8</f>
        <v>229639.75537865615</v>
      </c>
      <c r="AG8" s="92" t="s">
        <v>138</v>
      </c>
      <c r="AH8" s="97">
        <f>Y6</f>
        <v>48431.102374655347</v>
      </c>
      <c r="AI8" s="97"/>
      <c r="AJ8" s="97">
        <f t="shared" si="0"/>
        <v>48431.102374655347</v>
      </c>
      <c r="AK8" s="97">
        <f>Y7</f>
        <v>72139.833724753218</v>
      </c>
      <c r="AL8" s="97"/>
      <c r="AM8" s="97">
        <f t="shared" si="1"/>
        <v>72139.833724753218</v>
      </c>
      <c r="AN8" s="97">
        <f>Y8</f>
        <v>112525.35006715618</v>
      </c>
      <c r="AO8" s="97"/>
      <c r="AP8" s="97">
        <f t="shared" si="2"/>
        <v>112525.35006715618</v>
      </c>
      <c r="AQ8" s="97">
        <f t="shared" si="3"/>
        <v>233096.28616656474</v>
      </c>
      <c r="AR8" s="97">
        <f t="shared" si="4"/>
        <v>0</v>
      </c>
      <c r="AS8" s="97">
        <f t="shared" si="5"/>
        <v>233096.28616656474</v>
      </c>
      <c r="AT8" s="19">
        <f>Y10-AQ8</f>
        <v>0</v>
      </c>
      <c r="AW8" s="22"/>
      <c r="AX8" s="22"/>
      <c r="AY8" s="22"/>
      <c r="AZ8" s="22"/>
      <c r="BA8" s="22"/>
      <c r="BC8" s="22"/>
      <c r="BD8" s="22"/>
      <c r="BE8" s="22"/>
      <c r="BF8" s="22"/>
      <c r="BG8" s="22"/>
      <c r="BI8" s="22"/>
      <c r="BJ8" s="22"/>
      <c r="BK8" s="22"/>
      <c r="BL8" s="22"/>
      <c r="BM8" s="22"/>
      <c r="BO8" s="22"/>
      <c r="BP8" s="22"/>
      <c r="BQ8" s="22"/>
      <c r="BR8" s="22"/>
      <c r="BS8" s="22"/>
    </row>
    <row r="9" spans="2:71" x14ac:dyDescent="0.3">
      <c r="B9" s="76">
        <f>B8+10</f>
        <v>2038</v>
      </c>
      <c r="C9" s="76">
        <f>'Quadros 8.4.1 a 8.4.4'!U10</f>
        <v>3645.0754822008907</v>
      </c>
      <c r="D9" s="76">
        <f>'Quadros 8.4.1 a 8.4.4'!V10</f>
        <v>3645.0754822008907</v>
      </c>
      <c r="E9" s="76">
        <f>'Quadros 8.4.1 a 8.4.4'!W10</f>
        <v>3645.0754822008907</v>
      </c>
      <c r="F9" s="76">
        <f>'Quadros 8.4.1 a 8.4.4'!X10</f>
        <v>0</v>
      </c>
      <c r="G9" s="77"/>
      <c r="I9" s="63">
        <f>I8+10</f>
        <v>2038</v>
      </c>
      <c r="J9" s="59"/>
      <c r="K9" s="59"/>
      <c r="L9" s="59"/>
      <c r="M9" s="60"/>
      <c r="N9" s="88"/>
      <c r="O9" s="60">
        <f>O8+10</f>
        <v>2038</v>
      </c>
      <c r="P9" s="60"/>
      <c r="Q9" s="62"/>
      <c r="R9" s="59"/>
      <c r="S9" s="60"/>
      <c r="T9" s="19"/>
      <c r="U9" s="60">
        <f>U8+10</f>
        <v>2038</v>
      </c>
      <c r="V9" s="59"/>
      <c r="W9" s="59"/>
      <c r="X9" s="59"/>
      <c r="Y9" s="60"/>
      <c r="Z9" s="88"/>
      <c r="AA9" s="60">
        <f>AA8+10</f>
        <v>2038</v>
      </c>
      <c r="AB9" s="60"/>
      <c r="AC9" s="62"/>
      <c r="AD9" s="59"/>
      <c r="AE9" s="60"/>
      <c r="AG9" s="92" t="s">
        <v>249</v>
      </c>
      <c r="AH9" s="97"/>
      <c r="AI9" s="97"/>
      <c r="AJ9" s="97">
        <f t="shared" si="0"/>
        <v>0</v>
      </c>
      <c r="AK9" s="97"/>
      <c r="AL9" s="97"/>
      <c r="AM9" s="97">
        <f t="shared" si="1"/>
        <v>0</v>
      </c>
      <c r="AN9" s="97"/>
      <c r="AO9" s="97"/>
      <c r="AP9" s="97">
        <f t="shared" si="2"/>
        <v>0</v>
      </c>
      <c r="AQ9" s="97">
        <f t="shared" ref="AQ9" si="6">AN9+AK9+AH9</f>
        <v>0</v>
      </c>
      <c r="AR9" s="97">
        <f t="shared" ref="AR9" si="7">AO9+AL9+AI9</f>
        <v>0</v>
      </c>
      <c r="AS9" s="97">
        <f t="shared" ref="AS9" si="8">AP9+AM9+AJ9</f>
        <v>0</v>
      </c>
      <c r="AW9" s="22"/>
      <c r="AX9" s="22"/>
      <c r="AY9" s="22"/>
      <c r="AZ9" s="22"/>
      <c r="BA9" s="22"/>
      <c r="BC9" s="22"/>
      <c r="BD9" s="22"/>
      <c r="BE9" s="22"/>
      <c r="BF9" s="22"/>
      <c r="BG9" s="22"/>
      <c r="BH9" s="19"/>
      <c r="BI9" s="22"/>
      <c r="BJ9" s="22"/>
      <c r="BK9" s="22"/>
      <c r="BL9" s="22"/>
      <c r="BM9" s="22"/>
      <c r="BO9" s="22"/>
      <c r="BP9" s="22"/>
      <c r="BQ9" s="22"/>
      <c r="BR9" s="22"/>
      <c r="BS9" s="22"/>
    </row>
    <row r="10" spans="2:71" x14ac:dyDescent="0.3">
      <c r="B10" s="44"/>
      <c r="C10" s="44"/>
      <c r="D10" s="44"/>
      <c r="E10" s="44"/>
      <c r="F10" s="44"/>
      <c r="G10" s="77">
        <f>C6+F6+F7+F8</f>
        <v>3645.0754822008907</v>
      </c>
      <c r="I10" s="60" t="s">
        <v>126</v>
      </c>
      <c r="J10" s="60"/>
      <c r="K10" s="60"/>
      <c r="L10" s="60"/>
      <c r="M10" s="63">
        <f>SUM(M6:M9)</f>
        <v>577190.80384101742</v>
      </c>
      <c r="N10" s="88"/>
      <c r="O10" s="60" t="s">
        <v>126</v>
      </c>
      <c r="P10" s="60"/>
      <c r="Q10" s="60"/>
      <c r="R10" s="60"/>
      <c r="S10" s="63">
        <f>SUM(S6:S9)</f>
        <v>1137263.550446678</v>
      </c>
      <c r="U10" s="60" t="s">
        <v>126</v>
      </c>
      <c r="V10" s="60"/>
      <c r="W10" s="60"/>
      <c r="X10" s="60"/>
      <c r="Y10" s="63">
        <f>SUM(Y6:Y9)</f>
        <v>233096.28616656474</v>
      </c>
      <c r="Z10" s="88"/>
      <c r="AA10" s="60" t="s">
        <v>126</v>
      </c>
      <c r="AB10" s="60"/>
      <c r="AC10" s="60"/>
      <c r="AD10" s="60"/>
      <c r="AE10" s="63">
        <f>SUM(AE6:AE9)</f>
        <v>459279.5107573123</v>
      </c>
      <c r="AG10" s="92" t="s">
        <v>126</v>
      </c>
      <c r="AH10" s="106">
        <f>SUM(AH5:AH9)</f>
        <v>184499.43761773466</v>
      </c>
      <c r="AI10" s="106">
        <f>SUM(AI5:AI9)</f>
        <v>77506.5146819933</v>
      </c>
      <c r="AJ10" s="106">
        <f>SUM(AJ5:AJ9)</f>
        <v>262005.95229972794</v>
      </c>
      <c r="AK10" s="106">
        <f>SUM(AK5:AK9)</f>
        <v>274818.41418953607</v>
      </c>
      <c r="AL10" s="106">
        <f>SUM(AL5:AL9)</f>
        <v>14011.305466770704</v>
      </c>
      <c r="AM10" s="106">
        <f>SUM(AM5:AM9)</f>
        <v>288829.71965630678</v>
      </c>
      <c r="AN10" s="106">
        <f>SUM(AN5:AN9)</f>
        <v>428668.00025583309</v>
      </c>
      <c r="AO10" s="106">
        <f>SUM(AO5:AO9)</f>
        <v>20884.065309903664</v>
      </c>
      <c r="AP10" s="106">
        <f>SUM(AP5:AP9)</f>
        <v>449552.06556573673</v>
      </c>
      <c r="AQ10" s="106">
        <f>SUM(AQ5:AQ9)</f>
        <v>887985.85206310381</v>
      </c>
      <c r="AR10" s="106">
        <f>SUM(AR5:AR9)</f>
        <v>112401.88545866766</v>
      </c>
      <c r="AS10" s="106">
        <f>SUM(AS5:AS9)</f>
        <v>1000387.7375217713</v>
      </c>
      <c r="AW10" s="21" t="s">
        <v>126</v>
      </c>
      <c r="AX10" s="21"/>
      <c r="AY10" s="21"/>
      <c r="AZ10" s="21"/>
      <c r="BA10" s="22"/>
      <c r="BC10" s="21" t="s">
        <v>126</v>
      </c>
      <c r="BD10" s="21"/>
      <c r="BE10" s="21"/>
      <c r="BF10" s="21"/>
      <c r="BG10" s="22"/>
      <c r="BI10" s="21" t="s">
        <v>126</v>
      </c>
      <c r="BJ10" s="21"/>
      <c r="BK10" s="21"/>
      <c r="BL10" s="21"/>
      <c r="BM10" s="22"/>
      <c r="BO10" s="21" t="s">
        <v>126</v>
      </c>
      <c r="BP10" s="21"/>
      <c r="BQ10" s="21"/>
      <c r="BR10" s="21"/>
      <c r="BS10" s="22"/>
    </row>
    <row r="11" spans="2:71" x14ac:dyDescent="0.3">
      <c r="B11" s="167" t="s">
        <v>119</v>
      </c>
      <c r="C11" s="167"/>
      <c r="D11" s="167"/>
      <c r="E11" s="167"/>
      <c r="F11" s="167"/>
      <c r="G11" s="76"/>
      <c r="I11" s="30"/>
      <c r="J11" s="30"/>
      <c r="K11" s="30"/>
      <c r="L11" s="30"/>
      <c r="M11" s="31"/>
      <c r="O11" s="30"/>
      <c r="P11" s="30"/>
      <c r="Q11" s="30"/>
      <c r="R11" s="30"/>
      <c r="S11" s="31"/>
      <c r="U11" s="160"/>
      <c r="V11" s="160"/>
      <c r="W11" s="160"/>
      <c r="X11" s="160"/>
      <c r="Y11" s="160"/>
      <c r="AA11" s="160"/>
      <c r="AB11" s="160"/>
      <c r="AC11" s="160"/>
      <c r="AD11" s="160"/>
      <c r="AE11" s="160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W11" s="30"/>
      <c r="AX11" s="30"/>
      <c r="AY11" s="30"/>
      <c r="AZ11" s="30"/>
      <c r="BA11" s="31"/>
      <c r="BC11" s="30"/>
      <c r="BD11" s="30"/>
      <c r="BE11" s="30"/>
      <c r="BF11" s="30"/>
      <c r="BG11" s="31"/>
      <c r="BI11" s="160"/>
      <c r="BJ11" s="160"/>
      <c r="BK11" s="160"/>
      <c r="BL11" s="160"/>
      <c r="BM11" s="160"/>
      <c r="BO11" s="160"/>
      <c r="BP11" s="160"/>
      <c r="BQ11" s="160"/>
      <c r="BR11" s="160"/>
      <c r="BS11" s="160"/>
    </row>
    <row r="12" spans="2:71" x14ac:dyDescent="0.3">
      <c r="B12" s="167" t="s">
        <v>118</v>
      </c>
      <c r="C12" s="167"/>
      <c r="D12" s="167"/>
      <c r="E12" s="167"/>
      <c r="F12" s="167"/>
      <c r="G12" s="44"/>
      <c r="I12" s="147" t="s">
        <v>219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AG12" s="147" t="s">
        <v>139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W12" s="153" t="s">
        <v>219</v>
      </c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</row>
    <row r="13" spans="2:71" ht="14.4" customHeight="1" x14ac:dyDescent="0.3">
      <c r="B13" s="166" t="s">
        <v>91</v>
      </c>
      <c r="C13" s="167" t="s">
        <v>92</v>
      </c>
      <c r="D13" s="167"/>
      <c r="E13" s="167"/>
      <c r="F13" s="167"/>
      <c r="G13" s="44"/>
      <c r="I13" s="147" t="s">
        <v>127</v>
      </c>
      <c r="J13" s="147"/>
      <c r="K13" s="147"/>
      <c r="L13" s="147"/>
      <c r="M13" s="147"/>
      <c r="N13" s="104"/>
      <c r="O13" s="147" t="s">
        <v>128</v>
      </c>
      <c r="P13" s="147"/>
      <c r="Q13" s="147"/>
      <c r="R13" s="147"/>
      <c r="S13" s="147"/>
      <c r="AG13" s="148" t="s">
        <v>131</v>
      </c>
      <c r="AH13" s="165" t="s">
        <v>214</v>
      </c>
      <c r="AI13" s="149"/>
      <c r="AJ13" s="149"/>
      <c r="AK13" s="165" t="s">
        <v>215</v>
      </c>
      <c r="AL13" s="149"/>
      <c r="AM13" s="149"/>
      <c r="AN13" s="149" t="s">
        <v>216</v>
      </c>
      <c r="AO13" s="149"/>
      <c r="AP13" s="149"/>
      <c r="AQ13" s="149" t="s">
        <v>126</v>
      </c>
      <c r="AR13" s="149"/>
      <c r="AS13" s="149"/>
      <c r="AW13" s="153" t="s">
        <v>127</v>
      </c>
      <c r="AX13" s="153"/>
      <c r="AY13" s="153"/>
      <c r="AZ13" s="153"/>
      <c r="BA13" s="153"/>
      <c r="BB13" s="28"/>
      <c r="BC13" s="153" t="s">
        <v>128</v>
      </c>
      <c r="BD13" s="153"/>
      <c r="BE13" s="153"/>
      <c r="BF13" s="153"/>
      <c r="BG13" s="153"/>
    </row>
    <row r="14" spans="2:71" ht="14.4" customHeight="1" x14ac:dyDescent="0.3">
      <c r="B14" s="166"/>
      <c r="C14" s="44" t="s">
        <v>114</v>
      </c>
      <c r="D14" s="44" t="s">
        <v>115</v>
      </c>
      <c r="E14" s="44" t="s">
        <v>121</v>
      </c>
      <c r="F14" s="44" t="s">
        <v>122</v>
      </c>
      <c r="G14" s="44"/>
      <c r="I14" s="161" t="s">
        <v>188</v>
      </c>
      <c r="J14" s="161"/>
      <c r="K14" s="161"/>
      <c r="L14" s="161"/>
      <c r="M14" s="161"/>
      <c r="N14" s="105"/>
      <c r="O14" s="161" t="s">
        <v>188</v>
      </c>
      <c r="P14" s="161"/>
      <c r="Q14" s="161"/>
      <c r="R14" s="161"/>
      <c r="S14" s="161"/>
      <c r="V14" s="20"/>
      <c r="Y14" s="19">
        <f>M10+S10+Y10+S21+M21+M33+M41+AE10</f>
        <v>2719441.6203242256</v>
      </c>
      <c r="AB14" s="20"/>
      <c r="AG14" s="148" t="s">
        <v>131</v>
      </c>
      <c r="AH14" s="102" t="s">
        <v>3</v>
      </c>
      <c r="AI14" s="102" t="s">
        <v>4</v>
      </c>
      <c r="AJ14" s="102" t="s">
        <v>5</v>
      </c>
      <c r="AK14" s="102" t="s">
        <v>3</v>
      </c>
      <c r="AL14" s="102" t="s">
        <v>4</v>
      </c>
      <c r="AM14" s="102" t="s">
        <v>5</v>
      </c>
      <c r="AN14" s="102" t="s">
        <v>3</v>
      </c>
      <c r="AO14" s="102" t="s">
        <v>4</v>
      </c>
      <c r="AP14" s="102" t="s">
        <v>5</v>
      </c>
      <c r="AQ14" s="102" t="s">
        <v>3</v>
      </c>
      <c r="AR14" s="102" t="s">
        <v>4</v>
      </c>
      <c r="AS14" s="102" t="s">
        <v>5</v>
      </c>
      <c r="AT14" s="15">
        <f>AQ15-S10</f>
        <v>0</v>
      </c>
      <c r="AW14" s="171" t="s">
        <v>188</v>
      </c>
      <c r="AX14" s="171"/>
      <c r="AY14" s="171"/>
      <c r="AZ14" s="171"/>
      <c r="BA14" s="171"/>
      <c r="BB14" s="29"/>
      <c r="BC14" s="171" t="s">
        <v>188</v>
      </c>
      <c r="BD14" s="171"/>
      <c r="BE14" s="171"/>
      <c r="BF14" s="171"/>
      <c r="BG14" s="171"/>
      <c r="BJ14" s="20"/>
      <c r="BM14" s="19"/>
      <c r="BP14" s="20"/>
    </row>
    <row r="15" spans="2:71" x14ac:dyDescent="0.3">
      <c r="B15" s="76">
        <f>'Quadros 8.4.1 a 8.4.4'!T15</f>
        <v>2018</v>
      </c>
      <c r="C15" s="76">
        <f>'Quadros 8.4.1 a 8.4.4'!U15</f>
        <v>700.6039819706042</v>
      </c>
      <c r="D15" s="76">
        <f>'Quadros 8.4.1 a 8.4.4'!V15</f>
        <v>915.82219865438469</v>
      </c>
      <c r="E15" s="76">
        <f>'Quadros 8.4.1 a 8.4.4'!W15</f>
        <v>938.94785681296196</v>
      </c>
      <c r="F15" s="76">
        <f>'Quadros 8.4.1 a 8.4.4'!X15</f>
        <v>238.34387484235776</v>
      </c>
      <c r="G15" s="44"/>
      <c r="I15" s="148" t="s">
        <v>91</v>
      </c>
      <c r="J15" s="159" t="s">
        <v>142</v>
      </c>
      <c r="K15" s="159" t="s">
        <v>143</v>
      </c>
      <c r="L15" s="159" t="s">
        <v>144</v>
      </c>
      <c r="M15" s="159" t="s">
        <v>145</v>
      </c>
      <c r="N15" s="88"/>
      <c r="O15" s="148" t="s">
        <v>91</v>
      </c>
      <c r="P15" s="159" t="s">
        <v>142</v>
      </c>
      <c r="Q15" s="159" t="s">
        <v>143</v>
      </c>
      <c r="R15" s="159" t="s">
        <v>144</v>
      </c>
      <c r="S15" s="159" t="s">
        <v>145</v>
      </c>
      <c r="V15" s="19"/>
      <c r="W15" s="19"/>
      <c r="X15" s="14"/>
      <c r="Y15" s="19">
        <f>Y14-AT19</f>
        <v>2719441.6203242256</v>
      </c>
      <c r="AB15" s="19"/>
      <c r="AC15" s="19"/>
      <c r="AD15" s="14"/>
      <c r="AE15" s="19"/>
      <c r="AG15" s="92" t="s">
        <v>135</v>
      </c>
      <c r="AH15" s="97">
        <f>S6</f>
        <v>284315.88761166949</v>
      </c>
      <c r="AI15" s="97">
        <v>0</v>
      </c>
      <c r="AJ15" s="97">
        <f>AH15+AI15</f>
        <v>284315.88761166949</v>
      </c>
      <c r="AK15" s="97">
        <f>S7</f>
        <v>284315.88761166949</v>
      </c>
      <c r="AL15" s="97">
        <v>0</v>
      </c>
      <c r="AM15" s="97">
        <f>AK15+AL15</f>
        <v>284315.88761166949</v>
      </c>
      <c r="AN15" s="97">
        <f>S8</f>
        <v>568631.77522333898</v>
      </c>
      <c r="AO15" s="97">
        <v>0</v>
      </c>
      <c r="AP15" s="97">
        <f>AN15+AO15</f>
        <v>568631.77522333898</v>
      </c>
      <c r="AQ15" s="97">
        <f>AN15+AK15+AH15</f>
        <v>1137263.550446678</v>
      </c>
      <c r="AR15" s="97">
        <f>AO15+AL15+AI15</f>
        <v>0</v>
      </c>
      <c r="AS15" s="97">
        <f>AP15+AM15+AJ15</f>
        <v>1137263.550446678</v>
      </c>
      <c r="AT15" s="15">
        <f>AR16-S21</f>
        <v>0</v>
      </c>
      <c r="AW15" s="154" t="s">
        <v>91</v>
      </c>
      <c r="AX15" s="170" t="s">
        <v>142</v>
      </c>
      <c r="AY15" s="170" t="s">
        <v>143</v>
      </c>
      <c r="AZ15" s="170" t="s">
        <v>144</v>
      </c>
      <c r="BA15" s="170" t="s">
        <v>145</v>
      </c>
      <c r="BC15" s="154" t="s">
        <v>91</v>
      </c>
      <c r="BD15" s="170" t="s">
        <v>142</v>
      </c>
      <c r="BE15" s="170" t="s">
        <v>143</v>
      </c>
      <c r="BF15" s="170" t="s">
        <v>144</v>
      </c>
      <c r="BG15" s="170" t="s">
        <v>145</v>
      </c>
      <c r="BJ15" s="19"/>
      <c r="BK15" s="19"/>
      <c r="BL15" s="14"/>
      <c r="BM15" s="19"/>
      <c r="BP15" s="19"/>
      <c r="BQ15" s="19"/>
      <c r="BR15" s="14"/>
      <c r="BS15" s="19"/>
    </row>
    <row r="16" spans="2:71" x14ac:dyDescent="0.3">
      <c r="B16" s="76">
        <f>B15+5</f>
        <v>2023</v>
      </c>
      <c r="C16" s="76">
        <f>'Quadros 8.4.1 a 8.4.4'!U16</f>
        <v>938.94785681296196</v>
      </c>
      <c r="D16" s="76">
        <f>'Quadros 8.4.1 a 8.4.4'!V16</f>
        <v>938.94785681296196</v>
      </c>
      <c r="E16" s="76">
        <f>'Quadros 8.4.1 a 8.4.4'!W16</f>
        <v>972.30810792432078</v>
      </c>
      <c r="F16" s="76">
        <f>'Quadros 8.4.1 a 8.4.4'!X16</f>
        <v>33.360251111358821</v>
      </c>
      <c r="G16" s="44"/>
      <c r="I16" s="148"/>
      <c r="J16" s="159"/>
      <c r="K16" s="159" t="s">
        <v>116</v>
      </c>
      <c r="L16" s="159" t="s">
        <v>125</v>
      </c>
      <c r="M16" s="159"/>
      <c r="N16" s="88"/>
      <c r="O16" s="148"/>
      <c r="P16" s="159"/>
      <c r="Q16" s="159" t="s">
        <v>116</v>
      </c>
      <c r="R16" s="159" t="s">
        <v>125</v>
      </c>
      <c r="S16" s="159"/>
      <c r="V16" s="19"/>
      <c r="W16" s="19"/>
      <c r="X16" s="14"/>
      <c r="Y16" s="19"/>
      <c r="AB16" s="19"/>
      <c r="AC16" s="19"/>
      <c r="AD16" s="14"/>
      <c r="AE16" s="19"/>
      <c r="AG16" s="92" t="s">
        <v>136</v>
      </c>
      <c r="AH16" s="97">
        <v>0</v>
      </c>
      <c r="AI16" s="97">
        <f>S17</f>
        <v>30627.705399616105</v>
      </c>
      <c r="AJ16" s="97">
        <f t="shared" ref="AJ16:AJ19" si="9">AH16+AI16</f>
        <v>30627.705399616105</v>
      </c>
      <c r="AK16" s="97">
        <v>0</v>
      </c>
      <c r="AL16" s="97">
        <f>S18</f>
        <v>30627.705399616105</v>
      </c>
      <c r="AM16" s="97">
        <f t="shared" ref="AM16:AM19" si="10">AK16+AL16</f>
        <v>30627.705399616105</v>
      </c>
      <c r="AN16" s="97">
        <v>0</v>
      </c>
      <c r="AO16" s="97">
        <f>S19</f>
        <v>61255.41079923221</v>
      </c>
      <c r="AP16" s="97">
        <f t="shared" ref="AP16:AP19" si="11">AN16+AO16</f>
        <v>61255.41079923221</v>
      </c>
      <c r="AQ16" s="97">
        <f t="shared" ref="AQ16:AQ18" si="12">AN16+AK16+AH16</f>
        <v>0</v>
      </c>
      <c r="AR16" s="97">
        <f t="shared" ref="AR16:AR18" si="13">AO16+AL16+AI16</f>
        <v>122510.82159846442</v>
      </c>
      <c r="AS16" s="97">
        <f t="shared" ref="AS16:AS18" si="14">AP16+AM16+AJ16</f>
        <v>122510.82159846442</v>
      </c>
      <c r="AW16" s="154"/>
      <c r="AX16" s="170"/>
      <c r="AY16" s="170" t="s">
        <v>116</v>
      </c>
      <c r="AZ16" s="170" t="s">
        <v>125</v>
      </c>
      <c r="BA16" s="170"/>
      <c r="BC16" s="154"/>
      <c r="BD16" s="170"/>
      <c r="BE16" s="170" t="s">
        <v>116</v>
      </c>
      <c r="BF16" s="170" t="s">
        <v>125</v>
      </c>
      <c r="BG16" s="170"/>
      <c r="BJ16" s="19"/>
      <c r="BK16" s="19"/>
      <c r="BL16" s="14"/>
      <c r="BM16" s="19"/>
      <c r="BP16" s="19"/>
      <c r="BQ16" s="19"/>
      <c r="BR16" s="14"/>
      <c r="BS16" s="19"/>
    </row>
    <row r="17" spans="2:71" x14ac:dyDescent="0.3">
      <c r="B17" s="76">
        <f>B16+5</f>
        <v>2028</v>
      </c>
      <c r="C17" s="76">
        <f>'Quadros 8.4.1 a 8.4.4'!U17</f>
        <v>972.30810792432078</v>
      </c>
      <c r="D17" s="76">
        <f>'Quadros 8.4.1 a 8.4.4'!V17</f>
        <v>972.30810792432078</v>
      </c>
      <c r="E17" s="76">
        <f>'Quadros 8.4.1 a 8.4.4'!W17</f>
        <v>1022.0320729479009</v>
      </c>
      <c r="F17" s="76">
        <f>'Quadros 8.4.1 a 8.4.4'!X17</f>
        <v>49.723965023580149</v>
      </c>
      <c r="G17" s="44"/>
      <c r="I17" s="63">
        <f>B15</f>
        <v>2018</v>
      </c>
      <c r="J17" s="62">
        <f>C15</f>
        <v>700.6039819706042</v>
      </c>
      <c r="K17" s="62">
        <f>F15</f>
        <v>238.34387484235776</v>
      </c>
      <c r="L17" s="54">
        <v>315</v>
      </c>
      <c r="M17" s="63">
        <f>K17*L17</f>
        <v>75078.320575342688</v>
      </c>
      <c r="N17" s="88"/>
      <c r="O17" s="63">
        <v>2018</v>
      </c>
      <c r="P17" s="63">
        <f>J17</f>
        <v>700.6039819706042</v>
      </c>
      <c r="Q17" s="61">
        <f>P19*0.1</f>
        <v>97.230810792432081</v>
      </c>
      <c r="R17" s="54">
        <f>L17</f>
        <v>315</v>
      </c>
      <c r="S17" s="63">
        <f>Q17*R17</f>
        <v>30627.705399616105</v>
      </c>
      <c r="V17" s="19"/>
      <c r="W17" s="19"/>
      <c r="X17" s="14"/>
      <c r="Y17" s="19"/>
      <c r="AB17" s="19"/>
      <c r="AC17" s="19"/>
      <c r="AD17" s="14"/>
      <c r="AE17" s="19"/>
      <c r="AG17" s="92" t="s">
        <v>137</v>
      </c>
      <c r="AH17" s="97">
        <v>0</v>
      </c>
      <c r="AI17" s="97">
        <f>M46</f>
        <v>0</v>
      </c>
      <c r="AJ17" s="97">
        <f t="shared" si="9"/>
        <v>0</v>
      </c>
      <c r="AK17" s="97">
        <v>0</v>
      </c>
      <c r="AL17" s="97">
        <v>0</v>
      </c>
      <c r="AM17" s="97">
        <f t="shared" si="10"/>
        <v>0</v>
      </c>
      <c r="AN17" s="97">
        <f>M40</f>
        <v>0</v>
      </c>
      <c r="AO17" s="97">
        <v>0</v>
      </c>
      <c r="AP17" s="97">
        <f t="shared" si="11"/>
        <v>0</v>
      </c>
      <c r="AQ17" s="97">
        <f t="shared" si="12"/>
        <v>0</v>
      </c>
      <c r="AR17" s="97">
        <f t="shared" si="13"/>
        <v>0</v>
      </c>
      <c r="AS17" s="97">
        <f t="shared" si="14"/>
        <v>0</v>
      </c>
      <c r="AT17" s="15">
        <f>AQ18-AE10</f>
        <v>0</v>
      </c>
      <c r="AW17" s="22"/>
      <c r="AX17" s="22"/>
      <c r="AY17" s="22"/>
      <c r="AZ17" s="22"/>
      <c r="BA17" s="22"/>
      <c r="BC17" s="22"/>
      <c r="BD17" s="22"/>
      <c r="BE17" s="22"/>
      <c r="BF17" s="22"/>
      <c r="BG17" s="22"/>
      <c r="BJ17" s="19"/>
      <c r="BK17" s="19"/>
      <c r="BL17" s="14"/>
      <c r="BM17" s="19"/>
      <c r="BP17" s="19"/>
      <c r="BQ17" s="19"/>
      <c r="BR17" s="14"/>
      <c r="BS17" s="19"/>
    </row>
    <row r="18" spans="2:71" x14ac:dyDescent="0.3">
      <c r="B18" s="76">
        <f>B17+10</f>
        <v>2038</v>
      </c>
      <c r="C18" s="76">
        <f>'Quadros 8.4.1 a 8.4.4'!U18</f>
        <v>1022.0320729479009</v>
      </c>
      <c r="D18" s="76">
        <f>'Quadros 8.4.1 a 8.4.4'!V18</f>
        <v>1022.0320729479009</v>
      </c>
      <c r="E18" s="76">
        <f>'Quadros 8.4.1 a 8.4.4'!W18</f>
        <v>1022.0320729479009</v>
      </c>
      <c r="F18" s="76">
        <f>'Quadros 8.4.1 a 8.4.4'!X18</f>
        <v>0</v>
      </c>
      <c r="G18" s="77"/>
      <c r="I18" s="63">
        <f>I17+5</f>
        <v>2023</v>
      </c>
      <c r="J18" s="62">
        <f>C16</f>
        <v>938.94785681296196</v>
      </c>
      <c r="K18" s="62">
        <f>F16</f>
        <v>33.360251111358821</v>
      </c>
      <c r="L18" s="54">
        <v>315</v>
      </c>
      <c r="M18" s="63">
        <f>K18*L18</f>
        <v>10508.479100078028</v>
      </c>
      <c r="N18" s="88"/>
      <c r="O18" s="63">
        <f>O17+5</f>
        <v>2023</v>
      </c>
      <c r="P18" s="63">
        <f>J18</f>
        <v>938.94785681296196</v>
      </c>
      <c r="Q18" s="61">
        <f>P19*0.1</f>
        <v>97.230810792432081</v>
      </c>
      <c r="R18" s="54">
        <f>L18</f>
        <v>315</v>
      </c>
      <c r="S18" s="63">
        <f>Q18*R18</f>
        <v>30627.705399616105</v>
      </c>
      <c r="T18" s="19"/>
      <c r="AG18" s="92" t="s">
        <v>138</v>
      </c>
      <c r="AH18" s="97">
        <f>AE6</f>
        <v>114819.87768932807</v>
      </c>
      <c r="AI18" s="97"/>
      <c r="AJ18" s="97">
        <f t="shared" si="9"/>
        <v>114819.87768932807</v>
      </c>
      <c r="AK18" s="97">
        <f>AE7</f>
        <v>114819.87768932807</v>
      </c>
      <c r="AL18" s="97"/>
      <c r="AM18" s="97">
        <f t="shared" si="10"/>
        <v>114819.87768932807</v>
      </c>
      <c r="AN18" s="97">
        <f>AE8</f>
        <v>229639.75537865615</v>
      </c>
      <c r="AO18" s="97"/>
      <c r="AP18" s="97">
        <f t="shared" si="11"/>
        <v>229639.75537865615</v>
      </c>
      <c r="AQ18" s="97">
        <f t="shared" si="12"/>
        <v>459279.5107573123</v>
      </c>
      <c r="AR18" s="97">
        <f t="shared" si="13"/>
        <v>0</v>
      </c>
      <c r="AS18" s="97">
        <f t="shared" si="14"/>
        <v>459279.5107573123</v>
      </c>
      <c r="AW18" s="22"/>
      <c r="AX18" s="22"/>
      <c r="AY18" s="22"/>
      <c r="AZ18" s="22"/>
      <c r="BA18" s="22"/>
      <c r="BC18" s="22"/>
      <c r="BD18" s="22"/>
      <c r="BE18" s="22"/>
      <c r="BF18" s="22"/>
      <c r="BG18" s="22"/>
      <c r="BH18" s="19"/>
    </row>
    <row r="19" spans="2:71" x14ac:dyDescent="0.3">
      <c r="B19" s="44"/>
      <c r="C19" s="44"/>
      <c r="D19" s="44"/>
      <c r="E19" s="44"/>
      <c r="F19" s="44"/>
      <c r="G19" s="77">
        <f>C15+F15+F16+F17</f>
        <v>1022.0320729479009</v>
      </c>
      <c r="I19" s="63">
        <f>I18+5</f>
        <v>2028</v>
      </c>
      <c r="J19" s="62">
        <f>C17</f>
        <v>972.30810792432078</v>
      </c>
      <c r="K19" s="62">
        <f>F17</f>
        <v>49.723965023580149</v>
      </c>
      <c r="L19" s="54">
        <v>315</v>
      </c>
      <c r="M19" s="63">
        <f>K19*L19</f>
        <v>15663.048982427747</v>
      </c>
      <c r="N19" s="88"/>
      <c r="O19" s="63">
        <f>O18+5</f>
        <v>2028</v>
      </c>
      <c r="P19" s="63">
        <f>J19</f>
        <v>972.30810792432078</v>
      </c>
      <c r="Q19" s="61">
        <f>P19*0.2</f>
        <v>194.46162158486416</v>
      </c>
      <c r="R19" s="54">
        <f>L19</f>
        <v>315</v>
      </c>
      <c r="S19" s="63">
        <f>Q19*R19</f>
        <v>61255.41079923221</v>
      </c>
      <c r="Y19" s="19"/>
      <c r="AE19" s="19"/>
      <c r="AG19" s="92" t="s">
        <v>249</v>
      </c>
      <c r="AH19" s="97"/>
      <c r="AI19" s="97"/>
      <c r="AJ19" s="97">
        <f t="shared" si="9"/>
        <v>0</v>
      </c>
      <c r="AK19" s="97"/>
      <c r="AL19" s="97"/>
      <c r="AM19" s="97">
        <f t="shared" si="10"/>
        <v>0</v>
      </c>
      <c r="AN19" s="97"/>
      <c r="AO19" s="97"/>
      <c r="AP19" s="97">
        <f t="shared" si="11"/>
        <v>0</v>
      </c>
      <c r="AQ19" s="97">
        <f t="shared" ref="AQ19" si="15">AN19+AK19+AH19</f>
        <v>0</v>
      </c>
      <c r="AR19" s="97">
        <f t="shared" ref="AR19" si="16">AO19+AL19+AI19</f>
        <v>0</v>
      </c>
      <c r="AS19" s="97">
        <f t="shared" ref="AS19" si="17">AP19+AM19+AJ19</f>
        <v>0</v>
      </c>
      <c r="AT19" s="19"/>
      <c r="AW19" s="22"/>
      <c r="AX19" s="22"/>
      <c r="AY19" s="22"/>
      <c r="AZ19" s="22"/>
      <c r="BA19" s="22"/>
      <c r="BC19" s="22"/>
      <c r="BD19" s="22"/>
      <c r="BE19" s="22"/>
      <c r="BF19" s="22"/>
      <c r="BG19" s="22"/>
      <c r="BM19" s="19"/>
      <c r="BS19" s="19"/>
    </row>
    <row r="20" spans="2:71" x14ac:dyDescent="0.3">
      <c r="B20" s="44"/>
      <c r="C20" s="44"/>
      <c r="D20" s="44"/>
      <c r="E20" s="44"/>
      <c r="F20" s="44"/>
      <c r="G20" s="44"/>
      <c r="I20" s="63">
        <f>I19+10</f>
        <v>2038</v>
      </c>
      <c r="J20" s="59"/>
      <c r="K20" s="59"/>
      <c r="L20" s="59"/>
      <c r="M20" s="60"/>
      <c r="N20" s="88"/>
      <c r="O20" s="63">
        <f>O19+10</f>
        <v>2038</v>
      </c>
      <c r="P20" s="60"/>
      <c r="Q20" s="62"/>
      <c r="R20" s="59"/>
      <c r="S20" s="60"/>
      <c r="AG20" s="92" t="s">
        <v>126</v>
      </c>
      <c r="AH20" s="106">
        <f>SUM(AH15:AH19)</f>
        <v>399135.76530099753</v>
      </c>
      <c r="AI20" s="106">
        <f t="shared" ref="AI20:AS20" si="18">SUM(AI15:AI19)</f>
        <v>30627.705399616105</v>
      </c>
      <c r="AJ20" s="106">
        <f t="shared" si="18"/>
        <v>429763.47070061369</v>
      </c>
      <c r="AK20" s="106">
        <f t="shared" si="18"/>
        <v>399135.76530099753</v>
      </c>
      <c r="AL20" s="106">
        <f t="shared" si="18"/>
        <v>30627.705399616105</v>
      </c>
      <c r="AM20" s="106">
        <f t="shared" si="18"/>
        <v>429763.47070061369</v>
      </c>
      <c r="AN20" s="106">
        <f t="shared" si="18"/>
        <v>798271.53060199507</v>
      </c>
      <c r="AO20" s="106">
        <f t="shared" si="18"/>
        <v>61255.41079923221</v>
      </c>
      <c r="AP20" s="106">
        <f t="shared" si="18"/>
        <v>859526.94140122738</v>
      </c>
      <c r="AQ20" s="106">
        <f t="shared" si="18"/>
        <v>1596543.0612039901</v>
      </c>
      <c r="AR20" s="106">
        <f t="shared" si="18"/>
        <v>122510.82159846442</v>
      </c>
      <c r="AS20" s="106">
        <f t="shared" si="18"/>
        <v>1719053.8828024548</v>
      </c>
      <c r="AW20" s="22"/>
      <c r="AX20" s="22"/>
      <c r="AY20" s="22"/>
      <c r="AZ20" s="22"/>
      <c r="BA20" s="22"/>
      <c r="BC20" s="22"/>
      <c r="BD20" s="22"/>
      <c r="BE20" s="22"/>
      <c r="BF20" s="22"/>
      <c r="BG20" s="22"/>
    </row>
    <row r="21" spans="2:71" x14ac:dyDescent="0.3">
      <c r="B21" s="44"/>
      <c r="C21" s="44"/>
      <c r="D21" s="44"/>
      <c r="E21" s="44"/>
      <c r="F21" s="44"/>
      <c r="G21" s="44"/>
      <c r="I21" s="60" t="s">
        <v>126</v>
      </c>
      <c r="J21" s="60"/>
      <c r="K21" s="60"/>
      <c r="L21" s="60"/>
      <c r="M21" s="63">
        <f>SUM(M17:M20)</f>
        <v>101249.84865784846</v>
      </c>
      <c r="N21" s="88"/>
      <c r="O21" s="60" t="s">
        <v>126</v>
      </c>
      <c r="P21" s="60"/>
      <c r="Q21" s="60"/>
      <c r="R21" s="60"/>
      <c r="S21" s="63">
        <f>SUM(S17:S20)</f>
        <v>122510.82159846442</v>
      </c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W21" s="21" t="s">
        <v>126</v>
      </c>
      <c r="AX21" s="21"/>
      <c r="AY21" s="21"/>
      <c r="AZ21" s="21"/>
      <c r="BA21" s="22"/>
      <c r="BC21" s="21" t="s">
        <v>126</v>
      </c>
      <c r="BD21" s="21"/>
      <c r="BE21" s="21"/>
      <c r="BF21" s="21"/>
      <c r="BG21" s="22"/>
    </row>
    <row r="22" spans="2:71" x14ac:dyDescent="0.3">
      <c r="B22" s="44"/>
      <c r="C22" s="44"/>
      <c r="D22" s="44"/>
      <c r="E22" s="44"/>
      <c r="F22" s="44"/>
      <c r="G22" s="44"/>
      <c r="AG22" s="147" t="s">
        <v>141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88"/>
      <c r="AS22" s="88"/>
    </row>
    <row r="23" spans="2:71" x14ac:dyDescent="0.3">
      <c r="B23" s="167" t="s">
        <v>129</v>
      </c>
      <c r="C23" s="167"/>
      <c r="D23" s="167"/>
      <c r="E23" s="167"/>
      <c r="F23" s="167"/>
      <c r="G23" s="44"/>
      <c r="U23" s="160"/>
      <c r="V23" s="160"/>
      <c r="W23" s="160"/>
      <c r="X23" s="160"/>
      <c r="Y23" s="160"/>
      <c r="AG23" s="148" t="s">
        <v>131</v>
      </c>
      <c r="AH23" s="162" t="s">
        <v>132</v>
      </c>
      <c r="AI23" s="163"/>
      <c r="AJ23" s="164"/>
      <c r="AK23" s="162" t="s">
        <v>133</v>
      </c>
      <c r="AL23" s="163"/>
      <c r="AM23" s="164"/>
      <c r="AN23" s="162" t="s">
        <v>5</v>
      </c>
      <c r="AO23" s="163"/>
      <c r="AP23" s="164"/>
      <c r="AQ23" s="148" t="s">
        <v>140</v>
      </c>
      <c r="AR23" s="88"/>
      <c r="AS23" s="88"/>
      <c r="BI23" s="160"/>
      <c r="BJ23" s="160"/>
      <c r="BK23" s="160"/>
      <c r="BL23" s="160"/>
      <c r="BM23" s="160"/>
    </row>
    <row r="24" spans="2:71" x14ac:dyDescent="0.3">
      <c r="B24" s="167" t="s">
        <v>117</v>
      </c>
      <c r="C24" s="167"/>
      <c r="D24" s="167"/>
      <c r="E24" s="167"/>
      <c r="F24" s="167"/>
      <c r="G24" s="44"/>
      <c r="I24" s="147" t="s">
        <v>218</v>
      </c>
      <c r="J24" s="147"/>
      <c r="K24" s="147"/>
      <c r="L24" s="147"/>
      <c r="M24" s="147"/>
      <c r="U24" s="160"/>
      <c r="V24" s="160"/>
      <c r="W24" s="160"/>
      <c r="X24" s="160"/>
      <c r="Y24" s="160"/>
      <c r="AG24" s="148" t="s">
        <v>131</v>
      </c>
      <c r="AH24" s="102" t="s">
        <v>217</v>
      </c>
      <c r="AI24" s="102" t="s">
        <v>215</v>
      </c>
      <c r="AJ24" s="102" t="s">
        <v>216</v>
      </c>
      <c r="AK24" s="102" t="s">
        <v>217</v>
      </c>
      <c r="AL24" s="102" t="s">
        <v>215</v>
      </c>
      <c r="AM24" s="102" t="s">
        <v>216</v>
      </c>
      <c r="AN24" s="102" t="s">
        <v>217</v>
      </c>
      <c r="AO24" s="102" t="s">
        <v>215</v>
      </c>
      <c r="AP24" s="102" t="s">
        <v>216</v>
      </c>
      <c r="AQ24" s="148"/>
      <c r="AR24" s="88"/>
      <c r="AS24" s="88"/>
      <c r="AW24" s="153" t="s">
        <v>218</v>
      </c>
      <c r="AX24" s="153"/>
      <c r="AY24" s="153"/>
      <c r="AZ24" s="153"/>
      <c r="BA24" s="153"/>
      <c r="BI24" s="160"/>
      <c r="BJ24" s="160"/>
      <c r="BK24" s="160"/>
      <c r="BL24" s="160"/>
      <c r="BM24" s="160"/>
    </row>
    <row r="25" spans="2:71" ht="14.4" customHeight="1" x14ac:dyDescent="0.3">
      <c r="B25" s="166" t="s">
        <v>91</v>
      </c>
      <c r="C25" s="167" t="s">
        <v>92</v>
      </c>
      <c r="D25" s="167"/>
      <c r="E25" s="167"/>
      <c r="F25" s="167"/>
      <c r="G25" s="44"/>
      <c r="I25" s="147" t="s">
        <v>137</v>
      </c>
      <c r="J25" s="147"/>
      <c r="K25" s="147"/>
      <c r="L25" s="147"/>
      <c r="M25" s="147"/>
      <c r="S25" s="19"/>
      <c r="AG25" s="92" t="s">
        <v>135</v>
      </c>
      <c r="AH25" s="106">
        <f>AJ5</f>
        <v>119924.63445152753</v>
      </c>
      <c r="AI25" s="106">
        <f>AM5</f>
        <v>178631.96922319845</v>
      </c>
      <c r="AJ25" s="106">
        <f>AP5</f>
        <v>278634.2001662915</v>
      </c>
      <c r="AK25" s="106">
        <f>AJ15</f>
        <v>284315.88761166949</v>
      </c>
      <c r="AL25" s="106">
        <f>AM15</f>
        <v>284315.88761166949</v>
      </c>
      <c r="AM25" s="106">
        <f>AP15</f>
        <v>568631.77522333898</v>
      </c>
      <c r="AN25" s="106">
        <f>AH25+AK25</f>
        <v>404240.52206319699</v>
      </c>
      <c r="AO25" s="106">
        <f>AI25+AL25</f>
        <v>462947.85683486797</v>
      </c>
      <c r="AP25" s="106">
        <f>AJ25+AM25</f>
        <v>847265.97538963053</v>
      </c>
      <c r="AQ25" s="106">
        <f>SUM(AN25:AP25)</f>
        <v>1714454.3542876956</v>
      </c>
      <c r="AR25" s="88"/>
      <c r="AS25" s="88"/>
      <c r="AW25" s="153" t="s">
        <v>129</v>
      </c>
      <c r="AX25" s="153"/>
      <c r="AY25" s="153"/>
      <c r="AZ25" s="153"/>
      <c r="BA25" s="153"/>
      <c r="BG25" s="19"/>
    </row>
    <row r="26" spans="2:71" ht="14.4" customHeight="1" x14ac:dyDescent="0.3">
      <c r="B26" s="166"/>
      <c r="C26" s="44" t="s">
        <v>114</v>
      </c>
      <c r="D26" s="44" t="s">
        <v>115</v>
      </c>
      <c r="E26" s="44" t="s">
        <v>121</v>
      </c>
      <c r="F26" s="44" t="s">
        <v>122</v>
      </c>
      <c r="G26" s="44"/>
      <c r="I26" s="161" t="s">
        <v>117</v>
      </c>
      <c r="J26" s="161"/>
      <c r="K26" s="161"/>
      <c r="L26" s="161"/>
      <c r="M26" s="161"/>
      <c r="S26" s="19"/>
      <c r="V26" s="20"/>
      <c r="AG26" s="92" t="s">
        <v>136</v>
      </c>
      <c r="AH26" s="106">
        <f>AJ6</f>
        <v>75078.320575342688</v>
      </c>
      <c r="AI26" s="106">
        <f>AM6</f>
        <v>10508.479100078028</v>
      </c>
      <c r="AJ26" s="106">
        <f>AP6</f>
        <v>15663.048982427747</v>
      </c>
      <c r="AK26" s="106">
        <f>AJ16</f>
        <v>30627.705399616105</v>
      </c>
      <c r="AL26" s="106">
        <f>AM16</f>
        <v>30627.705399616105</v>
      </c>
      <c r="AM26" s="106">
        <f>AP16</f>
        <v>61255.41079923221</v>
      </c>
      <c r="AN26" s="106">
        <f t="shared" ref="AN26:AN30" si="19">AH26+AK26</f>
        <v>105706.02597495879</v>
      </c>
      <c r="AO26" s="106">
        <f t="shared" ref="AO26:AO30" si="20">AI26+AL26</f>
        <v>41136.184499694136</v>
      </c>
      <c r="AP26" s="106">
        <f t="shared" ref="AP26:AP30" si="21">AJ26+AM26</f>
        <v>76918.459781659956</v>
      </c>
      <c r="AQ26" s="106">
        <f>SUM(AN26:AP26)</f>
        <v>223760.67025631288</v>
      </c>
      <c r="AR26" s="88"/>
      <c r="AS26" s="88"/>
      <c r="AW26" s="171" t="s">
        <v>117</v>
      </c>
      <c r="AX26" s="171"/>
      <c r="AY26" s="171"/>
      <c r="AZ26" s="171"/>
      <c r="BA26" s="171"/>
      <c r="BG26" s="19"/>
      <c r="BJ26" s="20"/>
    </row>
    <row r="27" spans="2:71" x14ac:dyDescent="0.3">
      <c r="B27" s="76">
        <f>'Quadros 8.4.1 a 8.4.4'!T44</f>
        <v>2018</v>
      </c>
      <c r="C27" s="76">
        <f>'Quadros 8.4.1 a 8.4.4'!U44</f>
        <v>2905.0872721483042</v>
      </c>
      <c r="D27" s="76">
        <f>'Quadros 8.4.1 a 8.4.4'!V44</f>
        <v>2905.0872721483042</v>
      </c>
      <c r="E27" s="76">
        <f>'Quadros 8.4.1 a 8.4.4'!W44</f>
        <v>3058.8368034964165</v>
      </c>
      <c r="F27" s="76">
        <f>'Quadros 8.4.1 a 8.4.4'!X44</f>
        <v>153.74953134811221</v>
      </c>
      <c r="G27" s="44"/>
      <c r="I27" s="148" t="s">
        <v>91</v>
      </c>
      <c r="J27" s="159" t="s">
        <v>142</v>
      </c>
      <c r="K27" s="159" t="s">
        <v>143</v>
      </c>
      <c r="L27" s="159" t="s">
        <v>144</v>
      </c>
      <c r="M27" s="159" t="s">
        <v>145</v>
      </c>
      <c r="V27" s="19"/>
      <c r="W27" s="19"/>
      <c r="X27" s="14"/>
      <c r="Y27" s="19"/>
      <c r="AG27" s="92" t="s">
        <v>137</v>
      </c>
      <c r="AH27" s="106">
        <f>AJ7</f>
        <v>18571.894898202394</v>
      </c>
      <c r="AI27" s="106">
        <f>AM7</f>
        <v>27549.437608277087</v>
      </c>
      <c r="AJ27" s="106">
        <f>AP7</f>
        <v>42729.466349861308</v>
      </c>
      <c r="AK27" s="106">
        <f>AJ17</f>
        <v>0</v>
      </c>
      <c r="AL27" s="106">
        <f>AM17</f>
        <v>0</v>
      </c>
      <c r="AM27" s="106">
        <f>AP17</f>
        <v>0</v>
      </c>
      <c r="AN27" s="106">
        <f t="shared" si="19"/>
        <v>18571.894898202394</v>
      </c>
      <c r="AO27" s="106">
        <f t="shared" si="20"/>
        <v>27549.437608277087</v>
      </c>
      <c r="AP27" s="106">
        <f t="shared" si="21"/>
        <v>42729.466349861308</v>
      </c>
      <c r="AQ27" s="106">
        <f>SUM(AN27:AP27)</f>
        <v>88850.798856340785</v>
      </c>
      <c r="AR27" s="88"/>
      <c r="AS27" s="88"/>
      <c r="AW27" s="154" t="s">
        <v>91</v>
      </c>
      <c r="AX27" s="170" t="s">
        <v>142</v>
      </c>
      <c r="AY27" s="170" t="s">
        <v>143</v>
      </c>
      <c r="AZ27" s="170" t="s">
        <v>144</v>
      </c>
      <c r="BA27" s="170" t="s">
        <v>145</v>
      </c>
      <c r="BJ27" s="19"/>
      <c r="BK27" s="19"/>
      <c r="BL27" s="14"/>
      <c r="BM27" s="19"/>
    </row>
    <row r="28" spans="2:71" x14ac:dyDescent="0.3">
      <c r="B28" s="76">
        <f>'Quadros 8.4.1 a 8.4.4'!T45</f>
        <v>2023</v>
      </c>
      <c r="C28" s="76">
        <f>'Quadros 8.4.1 a 8.4.4'!U45</f>
        <v>3058.8368034964165</v>
      </c>
      <c r="D28" s="76">
        <f>'Quadros 8.4.1 a 8.4.4'!V45</f>
        <v>3058.8368034964165</v>
      </c>
      <c r="E28" s="76">
        <f>'Quadros 8.4.1 a 8.4.4'!W45</f>
        <v>3287.8521486543632</v>
      </c>
      <c r="F28" s="76">
        <f>'Quadros 8.4.1 a 8.4.4'!X45</f>
        <v>229.01534515794674</v>
      </c>
      <c r="G28" s="44"/>
      <c r="I28" s="148"/>
      <c r="J28" s="159"/>
      <c r="K28" s="159" t="s">
        <v>116</v>
      </c>
      <c r="L28" s="159" t="s">
        <v>125</v>
      </c>
      <c r="M28" s="159"/>
      <c r="V28" s="19"/>
      <c r="W28" s="19"/>
      <c r="X28" s="14"/>
      <c r="Y28" s="19"/>
      <c r="AG28" s="92" t="s">
        <v>138</v>
      </c>
      <c r="AH28" s="106">
        <f>AJ8</f>
        <v>48431.102374655347</v>
      </c>
      <c r="AI28" s="106">
        <f>AM8</f>
        <v>72139.833724753218</v>
      </c>
      <c r="AJ28" s="106">
        <f>AP8</f>
        <v>112525.35006715618</v>
      </c>
      <c r="AK28" s="106">
        <f>AJ18</f>
        <v>114819.87768932807</v>
      </c>
      <c r="AL28" s="106">
        <f>AM18</f>
        <v>114819.87768932807</v>
      </c>
      <c r="AM28" s="106">
        <f>AP18</f>
        <v>229639.75537865615</v>
      </c>
      <c r="AN28" s="106">
        <f t="shared" si="19"/>
        <v>163250.98006398341</v>
      </c>
      <c r="AO28" s="106">
        <f t="shared" si="20"/>
        <v>186959.71141408128</v>
      </c>
      <c r="AP28" s="106">
        <f t="shared" si="21"/>
        <v>342165.10544581234</v>
      </c>
      <c r="AQ28" s="106">
        <f>SUM(AN28:AP28)</f>
        <v>692375.79692387697</v>
      </c>
      <c r="AR28" s="88"/>
      <c r="AS28" s="88"/>
      <c r="AW28" s="154"/>
      <c r="AX28" s="170"/>
      <c r="AY28" s="170" t="s">
        <v>116</v>
      </c>
      <c r="AZ28" s="170" t="s">
        <v>125</v>
      </c>
      <c r="BA28" s="170"/>
      <c r="BJ28" s="19"/>
      <c r="BK28" s="19"/>
      <c r="BL28" s="14"/>
      <c r="BM28" s="19"/>
    </row>
    <row r="29" spans="2:71" x14ac:dyDescent="0.3">
      <c r="B29" s="76">
        <f>'Quadros 8.4.1 a 8.4.4'!T46</f>
        <v>2028</v>
      </c>
      <c r="C29" s="76">
        <f>'Quadros 8.4.1 a 8.4.4'!U46</f>
        <v>3287.8521486543632</v>
      </c>
      <c r="D29" s="76">
        <f>'Quadros 8.4.1 a 8.4.4'!V46</f>
        <v>3287.8521486543632</v>
      </c>
      <c r="E29" s="76">
        <f>'Quadros 8.4.1 a 8.4.4'!W46</f>
        <v>3645.0754822008907</v>
      </c>
      <c r="F29" s="76">
        <f>'Quadros 8.4.1 a 8.4.4'!X46</f>
        <v>357.22333354652756</v>
      </c>
      <c r="G29" s="44"/>
      <c r="I29" s="63">
        <f>B27</f>
        <v>2018</v>
      </c>
      <c r="J29" s="63">
        <f>C27</f>
        <v>2905.0872721483042</v>
      </c>
      <c r="K29" s="62">
        <f>F27*0.1</f>
        <v>15.374953134811221</v>
      </c>
      <c r="L29" s="54">
        <v>1050</v>
      </c>
      <c r="M29" s="63">
        <f>K29*L29</f>
        <v>16143.700791551782</v>
      </c>
      <c r="V29" s="19"/>
      <c r="W29" s="19"/>
      <c r="X29" s="14"/>
      <c r="Y29" s="19"/>
      <c r="AG29" s="92" t="s">
        <v>250</v>
      </c>
      <c r="AH29" s="106">
        <f>AJ9</f>
        <v>0</v>
      </c>
      <c r="AI29" s="106">
        <f>AM9</f>
        <v>0</v>
      </c>
      <c r="AJ29" s="106">
        <f>AP9</f>
        <v>0</v>
      </c>
      <c r="AK29" s="106">
        <f>AJ19</f>
        <v>0</v>
      </c>
      <c r="AL29" s="106">
        <f>AM19</f>
        <v>0</v>
      </c>
      <c r="AM29" s="106">
        <f>AP19</f>
        <v>0</v>
      </c>
      <c r="AN29" s="106">
        <f t="shared" ref="AN29" si="22">AH29+AK29</f>
        <v>0</v>
      </c>
      <c r="AO29" s="106">
        <f t="shared" ref="AO29" si="23">AI29+AL29</f>
        <v>0</v>
      </c>
      <c r="AP29" s="106">
        <f t="shared" ref="AP29" si="24">AJ29+AM29</f>
        <v>0</v>
      </c>
      <c r="AQ29" s="106">
        <f>SUM(AN29:AP29)</f>
        <v>0</v>
      </c>
      <c r="AR29" s="88"/>
      <c r="AS29" s="88"/>
      <c r="AW29" s="22"/>
      <c r="AX29" s="22"/>
      <c r="AY29" s="22"/>
      <c r="AZ29" s="22"/>
      <c r="BA29" s="22"/>
      <c r="BJ29" s="19"/>
      <c r="BK29" s="19"/>
      <c r="BL29" s="14"/>
      <c r="BM29" s="19"/>
    </row>
    <row r="30" spans="2:71" x14ac:dyDescent="0.3">
      <c r="B30" s="76">
        <f>'Quadros 8.4.1 a 8.4.4'!T47</f>
        <v>2038</v>
      </c>
      <c r="C30" s="76">
        <f>'Quadros 8.4.1 a 8.4.4'!U47</f>
        <v>3645.0754822008907</v>
      </c>
      <c r="D30" s="76">
        <f>'Quadros 8.4.1 a 8.4.4'!V47</f>
        <v>3645.0754822008907</v>
      </c>
      <c r="E30" s="76">
        <f>'Quadros 8.4.1 a 8.4.4'!W47</f>
        <v>3645.0754822008907</v>
      </c>
      <c r="F30" s="76">
        <f>'Quadros 8.4.1 a 8.4.4'!X47</f>
        <v>0</v>
      </c>
      <c r="G30" s="44"/>
      <c r="I30" s="63">
        <f>I29+5</f>
        <v>2023</v>
      </c>
      <c r="J30" s="63">
        <f>C28</f>
        <v>3058.8368034964165</v>
      </c>
      <c r="K30" s="62">
        <f>F28*0.1</f>
        <v>22.901534515794676</v>
      </c>
      <c r="L30" s="54">
        <v>1050</v>
      </c>
      <c r="M30" s="63">
        <f>K30*L30</f>
        <v>24046.611241584411</v>
      </c>
      <c r="AG30" s="92" t="s">
        <v>126</v>
      </c>
      <c r="AH30" s="106">
        <f>AJ10</f>
        <v>262005.95229972794</v>
      </c>
      <c r="AI30" s="106">
        <f>AM10</f>
        <v>288829.71965630678</v>
      </c>
      <c r="AJ30" s="106">
        <f>AP10</f>
        <v>449552.06556573673</v>
      </c>
      <c r="AK30" s="106">
        <f>AJ20</f>
        <v>429763.47070061369</v>
      </c>
      <c r="AL30" s="106">
        <f>AM20</f>
        <v>429763.47070061369</v>
      </c>
      <c r="AM30" s="106">
        <f>AP20</f>
        <v>859526.94140122738</v>
      </c>
      <c r="AN30" s="106">
        <f t="shared" si="19"/>
        <v>691769.42300034163</v>
      </c>
      <c r="AO30" s="106">
        <f t="shared" si="20"/>
        <v>718593.19035692047</v>
      </c>
      <c r="AP30" s="106">
        <f t="shared" si="21"/>
        <v>1309079.0069669641</v>
      </c>
      <c r="AQ30" s="106">
        <f>SUM(AN30:AP30)</f>
        <v>2719441.6203242261</v>
      </c>
      <c r="AW30" s="22"/>
      <c r="AX30" s="22"/>
      <c r="AY30" s="22"/>
      <c r="AZ30" s="22"/>
      <c r="BA30" s="22"/>
    </row>
    <row r="31" spans="2:71" x14ac:dyDescent="0.3">
      <c r="B31" s="44"/>
      <c r="C31" s="44"/>
      <c r="D31" s="44"/>
      <c r="E31" s="44"/>
      <c r="F31" s="44"/>
      <c r="G31" s="77">
        <f>C27+F27+F28+F29</f>
        <v>3645.0754822008907</v>
      </c>
      <c r="I31" s="63">
        <f>I30+5</f>
        <v>2028</v>
      </c>
      <c r="J31" s="63">
        <f>C29</f>
        <v>3287.8521486543632</v>
      </c>
      <c r="K31" s="62">
        <f>F29*0.1</f>
        <v>35.722333354652754</v>
      </c>
      <c r="L31" s="54">
        <v>1050</v>
      </c>
      <c r="M31" s="63">
        <f>K31*L31</f>
        <v>37508.45002238539</v>
      </c>
      <c r="Y31" s="19"/>
      <c r="AW31" s="22"/>
      <c r="AX31" s="22"/>
      <c r="AY31" s="22"/>
      <c r="AZ31" s="22"/>
      <c r="BA31" s="22"/>
      <c r="BM31" s="19"/>
    </row>
    <row r="32" spans="2:71" x14ac:dyDescent="0.3">
      <c r="B32" s="167" t="s">
        <v>118</v>
      </c>
      <c r="C32" s="167"/>
      <c r="D32" s="167"/>
      <c r="E32" s="167"/>
      <c r="F32" s="167"/>
      <c r="G32" s="44"/>
      <c r="I32" s="63">
        <f>I31+10</f>
        <v>2038</v>
      </c>
      <c r="J32" s="60"/>
      <c r="K32" s="59"/>
      <c r="L32" s="59"/>
      <c r="M32" s="60"/>
      <c r="U32" s="160"/>
      <c r="V32" s="160"/>
      <c r="W32" s="160"/>
      <c r="X32" s="160"/>
      <c r="Y32" s="160"/>
      <c r="AS32" s="19"/>
      <c r="AW32" s="22"/>
      <c r="AX32" s="22"/>
      <c r="AY32" s="22"/>
      <c r="AZ32" s="22"/>
      <c r="BA32" s="22"/>
      <c r="BI32" s="160"/>
      <c r="BJ32" s="160"/>
      <c r="BK32" s="160"/>
      <c r="BL32" s="160"/>
      <c r="BM32" s="160"/>
    </row>
    <row r="33" spans="2:65" x14ac:dyDescent="0.3">
      <c r="B33" s="166" t="s">
        <v>91</v>
      </c>
      <c r="C33" s="167" t="s">
        <v>92</v>
      </c>
      <c r="D33" s="167"/>
      <c r="E33" s="167"/>
      <c r="F33" s="167"/>
      <c r="G33" s="44"/>
      <c r="I33" s="60" t="s">
        <v>126</v>
      </c>
      <c r="J33" s="60"/>
      <c r="K33" s="60"/>
      <c r="L33" s="60"/>
      <c r="M33" s="63">
        <f>SUM(M29:M32)</f>
        <v>77698.762055521584</v>
      </c>
      <c r="AQ33" s="19"/>
      <c r="AW33" s="21" t="s">
        <v>126</v>
      </c>
      <c r="AX33" s="21"/>
      <c r="AY33" s="21"/>
      <c r="AZ33" s="21"/>
      <c r="BA33" s="22"/>
    </row>
    <row r="34" spans="2:65" ht="14.4" customHeight="1" x14ac:dyDescent="0.3">
      <c r="B34" s="166"/>
      <c r="C34" s="44" t="s">
        <v>114</v>
      </c>
      <c r="D34" s="44" t="s">
        <v>115</v>
      </c>
      <c r="E34" s="44" t="s">
        <v>121</v>
      </c>
      <c r="F34" s="44" t="s">
        <v>122</v>
      </c>
      <c r="G34" s="44"/>
      <c r="I34" s="147" t="s">
        <v>118</v>
      </c>
      <c r="J34" s="147"/>
      <c r="K34" s="147"/>
      <c r="L34" s="147"/>
      <c r="M34" s="147"/>
      <c r="V34" s="20"/>
      <c r="AW34" s="153" t="s">
        <v>118</v>
      </c>
      <c r="AX34" s="153"/>
      <c r="AY34" s="153"/>
      <c r="AZ34" s="153"/>
      <c r="BA34" s="153"/>
      <c r="BJ34" s="20"/>
    </row>
    <row r="35" spans="2:65" x14ac:dyDescent="0.3">
      <c r="B35" s="76">
        <f>'Quadros 8.4.1 a 8.4.4'!T52</f>
        <v>2018</v>
      </c>
      <c r="C35" s="76">
        <f>'Quadros 8.4.1 a 8.4.4'!U52</f>
        <v>915.82219865438469</v>
      </c>
      <c r="D35" s="76">
        <f>'Quadros 8.4.1 a 8.4.4'!V52</f>
        <v>915.82219865438469</v>
      </c>
      <c r="E35" s="76">
        <f>'Quadros 8.4.1 a 8.4.4'!W52</f>
        <v>938.94785681296196</v>
      </c>
      <c r="F35" s="76">
        <f>'Quadros 8.4.1 a 8.4.4'!X52</f>
        <v>23.125658158577266</v>
      </c>
      <c r="G35" s="44"/>
      <c r="I35" s="148" t="s">
        <v>91</v>
      </c>
      <c r="J35" s="159" t="s">
        <v>142</v>
      </c>
      <c r="K35" s="159" t="s">
        <v>143</v>
      </c>
      <c r="L35" s="159" t="s">
        <v>144</v>
      </c>
      <c r="M35" s="159" t="s">
        <v>145</v>
      </c>
      <c r="V35" s="19"/>
      <c r="W35" s="19"/>
      <c r="X35" s="14"/>
      <c r="Y35" s="19"/>
      <c r="AW35" s="154" t="s">
        <v>91</v>
      </c>
      <c r="AX35" s="170" t="s">
        <v>142</v>
      </c>
      <c r="AY35" s="170" t="s">
        <v>143</v>
      </c>
      <c r="AZ35" s="170" t="s">
        <v>144</v>
      </c>
      <c r="BA35" s="170" t="s">
        <v>145</v>
      </c>
      <c r="BJ35" s="19"/>
      <c r="BK35" s="19"/>
      <c r="BL35" s="14"/>
      <c r="BM35" s="19"/>
    </row>
    <row r="36" spans="2:65" x14ac:dyDescent="0.3">
      <c r="B36" s="76">
        <f>B35+5</f>
        <v>2023</v>
      </c>
      <c r="C36" s="76">
        <f>'Quadros 8.4.1 a 8.4.4'!U53</f>
        <v>938.94785681296196</v>
      </c>
      <c r="D36" s="76">
        <f>'Quadros 8.4.1 a 8.4.4'!V53</f>
        <v>938.94785681296196</v>
      </c>
      <c r="E36" s="76">
        <f>'Quadros 8.4.1 a 8.4.4'!W53</f>
        <v>972.30810792432078</v>
      </c>
      <c r="F36" s="76">
        <f>'Quadros 8.4.1 a 8.4.4'!X53</f>
        <v>33.360251111358821</v>
      </c>
      <c r="G36" s="44"/>
      <c r="I36" s="148"/>
      <c r="J36" s="159"/>
      <c r="K36" s="159" t="s">
        <v>116</v>
      </c>
      <c r="L36" s="159" t="s">
        <v>125</v>
      </c>
      <c r="M36" s="159"/>
      <c r="V36" s="19"/>
      <c r="W36" s="19"/>
      <c r="X36" s="14"/>
      <c r="Y36" s="19"/>
      <c r="AW36" s="154"/>
      <c r="AX36" s="170"/>
      <c r="AY36" s="170" t="s">
        <v>116</v>
      </c>
      <c r="AZ36" s="170" t="s">
        <v>125</v>
      </c>
      <c r="BA36" s="170"/>
      <c r="BJ36" s="19"/>
      <c r="BK36" s="19"/>
      <c r="BL36" s="14"/>
      <c r="BM36" s="19"/>
    </row>
    <row r="37" spans="2:65" x14ac:dyDescent="0.3">
      <c r="B37" s="76">
        <f>B36+5</f>
        <v>2028</v>
      </c>
      <c r="C37" s="76">
        <f>'Quadros 8.4.1 a 8.4.4'!U54</f>
        <v>972.30810792432078</v>
      </c>
      <c r="D37" s="76">
        <f>'Quadros 8.4.1 a 8.4.4'!V54</f>
        <v>972.30810792432078</v>
      </c>
      <c r="E37" s="76">
        <f>'Quadros 8.4.1 a 8.4.4'!W54</f>
        <v>1022.0320729479009</v>
      </c>
      <c r="F37" s="76">
        <f>'Quadros 8.4.1 a 8.4.4'!X54</f>
        <v>49.723965023580149</v>
      </c>
      <c r="G37" s="44"/>
      <c r="I37" s="63">
        <f>B35</f>
        <v>2018</v>
      </c>
      <c r="J37" s="63">
        <f>C35</f>
        <v>915.82219865438469</v>
      </c>
      <c r="K37" s="62">
        <f>F35*0.1</f>
        <v>2.3125658158577269</v>
      </c>
      <c r="L37" s="54">
        <v>1050</v>
      </c>
      <c r="M37" s="63">
        <f>K37*L37</f>
        <v>2428.1941066506133</v>
      </c>
      <c r="V37" s="19"/>
      <c r="W37" s="19"/>
      <c r="X37" s="14"/>
      <c r="Y37" s="19"/>
      <c r="AW37" s="22"/>
      <c r="AX37" s="22"/>
      <c r="AY37" s="22"/>
      <c r="AZ37" s="22"/>
      <c r="BA37" s="22"/>
      <c r="BJ37" s="19"/>
      <c r="BK37" s="19"/>
      <c r="BL37" s="14"/>
      <c r="BM37" s="19"/>
    </row>
    <row r="38" spans="2:65" x14ac:dyDescent="0.3">
      <c r="B38" s="76">
        <f>B37+10</f>
        <v>2038</v>
      </c>
      <c r="C38" s="76">
        <f>'Quadros 8.4.1 a 8.4.4'!U55</f>
        <v>1022.0320729479009</v>
      </c>
      <c r="D38" s="76">
        <f>'Quadros 8.4.1 a 8.4.4'!V55</f>
        <v>1022.0320729479009</v>
      </c>
      <c r="E38" s="76">
        <f>'Quadros 8.4.1 a 8.4.4'!W55</f>
        <v>1022.0320729479009</v>
      </c>
      <c r="F38" s="76">
        <f>'Quadros 8.4.1 a 8.4.4'!X55</f>
        <v>0</v>
      </c>
      <c r="G38" s="44"/>
      <c r="I38" s="63">
        <f>I37+5</f>
        <v>2023</v>
      </c>
      <c r="J38" s="63">
        <f>C36</f>
        <v>938.94785681296196</v>
      </c>
      <c r="K38" s="62">
        <f>F36*0.1</f>
        <v>3.3360251111358821</v>
      </c>
      <c r="L38" s="54">
        <v>1050</v>
      </c>
      <c r="M38" s="63">
        <f>K38*L38</f>
        <v>3502.8263666926759</v>
      </c>
      <c r="AW38" s="22"/>
      <c r="AX38" s="22"/>
      <c r="AY38" s="22"/>
      <c r="AZ38" s="22"/>
      <c r="BA38" s="22"/>
    </row>
    <row r="39" spans="2:65" x14ac:dyDescent="0.3">
      <c r="B39" s="44"/>
      <c r="C39" s="44"/>
      <c r="D39" s="44"/>
      <c r="E39" s="44"/>
      <c r="F39" s="44"/>
      <c r="G39" s="77">
        <f>C35+F35+F36+F37</f>
        <v>1022.0320729479009</v>
      </c>
      <c r="I39" s="63">
        <f>I38+5</f>
        <v>2028</v>
      </c>
      <c r="J39" s="63">
        <f>C37</f>
        <v>972.30810792432078</v>
      </c>
      <c r="K39" s="62">
        <f>F37*0.1</f>
        <v>4.9723965023580154</v>
      </c>
      <c r="L39" s="54">
        <v>1050</v>
      </c>
      <c r="M39" s="63">
        <f>K39*L39</f>
        <v>5221.0163274759161</v>
      </c>
      <c r="Y39" s="19"/>
      <c r="AW39" s="22"/>
      <c r="AX39" s="22"/>
      <c r="AY39" s="22"/>
      <c r="AZ39" s="22"/>
      <c r="BA39" s="22"/>
      <c r="BM39" s="19"/>
    </row>
    <row r="40" spans="2:65" x14ac:dyDescent="0.3">
      <c r="I40" s="63">
        <f>I39+10</f>
        <v>2038</v>
      </c>
      <c r="J40" s="60"/>
      <c r="K40" s="59"/>
      <c r="L40" s="59"/>
      <c r="M40" s="60"/>
      <c r="AW40" s="22"/>
      <c r="AX40" s="22"/>
      <c r="AY40" s="22"/>
      <c r="AZ40" s="22"/>
      <c r="BA40" s="22"/>
    </row>
    <row r="41" spans="2:65" x14ac:dyDescent="0.3">
      <c r="I41" s="60" t="s">
        <v>126</v>
      </c>
      <c r="J41" s="60"/>
      <c r="K41" s="60"/>
      <c r="L41" s="60"/>
      <c r="M41" s="63">
        <f>SUM(M37:M40)</f>
        <v>11152.036800819205</v>
      </c>
      <c r="AW41" s="21" t="s">
        <v>126</v>
      </c>
      <c r="AX41" s="21"/>
      <c r="AY41" s="21"/>
      <c r="AZ41" s="21"/>
      <c r="BA41" s="22"/>
    </row>
  </sheetData>
  <mergeCells count="163">
    <mergeCell ref="BI32:BM32"/>
    <mergeCell ref="AW34:BA34"/>
    <mergeCell ref="AW35:AW36"/>
    <mergeCell ref="AX35:AX36"/>
    <mergeCell ref="AY35:AY36"/>
    <mergeCell ref="AZ35:AZ36"/>
    <mergeCell ref="BA35:BA36"/>
    <mergeCell ref="BI23:BM23"/>
    <mergeCell ref="BI24:BM24"/>
    <mergeCell ref="AW25:BA25"/>
    <mergeCell ref="AW26:BA26"/>
    <mergeCell ref="AW27:AW28"/>
    <mergeCell ref="AX27:AX28"/>
    <mergeCell ref="AY27:AY28"/>
    <mergeCell ref="AZ27:AZ28"/>
    <mergeCell ref="BA27:BA28"/>
    <mergeCell ref="AW24:BA24"/>
    <mergeCell ref="BC15:BC16"/>
    <mergeCell ref="BD15:BD16"/>
    <mergeCell ref="BE15:BE16"/>
    <mergeCell ref="BF15:BF16"/>
    <mergeCell ref="BG15:BG16"/>
    <mergeCell ref="AW15:AW16"/>
    <mergeCell ref="AX15:AX16"/>
    <mergeCell ref="AY15:AY16"/>
    <mergeCell ref="AZ15:AZ16"/>
    <mergeCell ref="BA15:BA16"/>
    <mergeCell ref="BI11:BM11"/>
    <mergeCell ref="BO11:BS11"/>
    <mergeCell ref="AW13:BA13"/>
    <mergeCell ref="BC13:BG13"/>
    <mergeCell ref="AW14:BA14"/>
    <mergeCell ref="BC14:BG14"/>
    <mergeCell ref="AW12:BG12"/>
    <mergeCell ref="BO4:BO5"/>
    <mergeCell ref="BP4:BP5"/>
    <mergeCell ref="BQ4:BQ5"/>
    <mergeCell ref="BR4:BR5"/>
    <mergeCell ref="BS4:BS5"/>
    <mergeCell ref="BI4:BI5"/>
    <mergeCell ref="BJ4:BJ5"/>
    <mergeCell ref="BK4:BK5"/>
    <mergeCell ref="BL4:BL5"/>
    <mergeCell ref="BM4:BM5"/>
    <mergeCell ref="BC4:BC5"/>
    <mergeCell ref="BD4:BD5"/>
    <mergeCell ref="BE4:BE5"/>
    <mergeCell ref="BF4:BF5"/>
    <mergeCell ref="BG4:BG5"/>
    <mergeCell ref="AW4:AW5"/>
    <mergeCell ref="AX4:AX5"/>
    <mergeCell ref="AY4:AY5"/>
    <mergeCell ref="AZ4:AZ5"/>
    <mergeCell ref="BA4:BA5"/>
    <mergeCell ref="BO2:BS2"/>
    <mergeCell ref="AW3:BA3"/>
    <mergeCell ref="BC3:BG3"/>
    <mergeCell ref="BI3:BM3"/>
    <mergeCell ref="BO3:BS3"/>
    <mergeCell ref="I1:S1"/>
    <mergeCell ref="AW1:BG1"/>
    <mergeCell ref="AW2:BA2"/>
    <mergeCell ref="BC2:BG2"/>
    <mergeCell ref="BI2:BM2"/>
    <mergeCell ref="BI1:BS1"/>
    <mergeCell ref="U1:AE1"/>
    <mergeCell ref="AG1:AS1"/>
    <mergeCell ref="I4:I5"/>
    <mergeCell ref="Y4:Y5"/>
    <mergeCell ref="B2:F2"/>
    <mergeCell ref="B3:F3"/>
    <mergeCell ref="B12:F12"/>
    <mergeCell ref="B13:B14"/>
    <mergeCell ref="C13:F13"/>
    <mergeCell ref="B23:F23"/>
    <mergeCell ref="B25:B26"/>
    <mergeCell ref="C25:F25"/>
    <mergeCell ref="B32:F32"/>
    <mergeCell ref="C4:F4"/>
    <mergeCell ref="H4:H5"/>
    <mergeCell ref="I15:I16"/>
    <mergeCell ref="I27:I28"/>
    <mergeCell ref="B4:B5"/>
    <mergeCell ref="B11:F11"/>
    <mergeCell ref="I24:M24"/>
    <mergeCell ref="I12:S12"/>
    <mergeCell ref="I2:M2"/>
    <mergeCell ref="O2:S2"/>
    <mergeCell ref="I13:M13"/>
    <mergeCell ref="O13:S13"/>
    <mergeCell ref="O4:O5"/>
    <mergeCell ref="P4:P5"/>
    <mergeCell ref="Q4:Q5"/>
    <mergeCell ref="R4:R5"/>
    <mergeCell ref="I3:M3"/>
    <mergeCell ref="O3:S3"/>
    <mergeCell ref="J4:J5"/>
    <mergeCell ref="K4:K5"/>
    <mergeCell ref="L4:L5"/>
    <mergeCell ref="M4:M5"/>
    <mergeCell ref="S4:S5"/>
    <mergeCell ref="J15:J16"/>
    <mergeCell ref="K15:K16"/>
    <mergeCell ref="B33:B34"/>
    <mergeCell ref="C33:F33"/>
    <mergeCell ref="I25:M25"/>
    <mergeCell ref="I26:M26"/>
    <mergeCell ref="I34:M34"/>
    <mergeCell ref="B24:F24"/>
    <mergeCell ref="L27:L28"/>
    <mergeCell ref="M27:M28"/>
    <mergeCell ref="J35:J36"/>
    <mergeCell ref="K35:K36"/>
    <mergeCell ref="L35:L36"/>
    <mergeCell ref="M35:M36"/>
    <mergeCell ref="I35:I36"/>
    <mergeCell ref="J27:J28"/>
    <mergeCell ref="K27:K28"/>
    <mergeCell ref="U32:Y32"/>
    <mergeCell ref="U4:U5"/>
    <mergeCell ref="V4:V5"/>
    <mergeCell ref="W4:W5"/>
    <mergeCell ref="X4:X5"/>
    <mergeCell ref="U23:Y23"/>
    <mergeCell ref="U24:Y24"/>
    <mergeCell ref="AQ3:AS3"/>
    <mergeCell ref="AG2:AS2"/>
    <mergeCell ref="AG12:AS12"/>
    <mergeCell ref="AH13:AJ13"/>
    <mergeCell ref="AK13:AM13"/>
    <mergeCell ref="AN13:AP13"/>
    <mergeCell ref="AQ13:AS13"/>
    <mergeCell ref="AG13:AG14"/>
    <mergeCell ref="AG3:AG4"/>
    <mergeCell ref="AH3:AJ3"/>
    <mergeCell ref="AK3:AM3"/>
    <mergeCell ref="AN3:AP3"/>
    <mergeCell ref="AA2:AE2"/>
    <mergeCell ref="U11:Y11"/>
    <mergeCell ref="U2:Y2"/>
    <mergeCell ref="U3:Y3"/>
    <mergeCell ref="AA3:AE3"/>
    <mergeCell ref="AQ23:AQ24"/>
    <mergeCell ref="AG23:AG24"/>
    <mergeCell ref="AG22:AQ22"/>
    <mergeCell ref="AA4:AA5"/>
    <mergeCell ref="AH23:AJ23"/>
    <mergeCell ref="AK23:AM23"/>
    <mergeCell ref="AN23:AP23"/>
    <mergeCell ref="AB4:AB5"/>
    <mergeCell ref="AC4:AC5"/>
    <mergeCell ref="AD4:AD5"/>
    <mergeCell ref="AE4:AE5"/>
    <mergeCell ref="L15:L16"/>
    <mergeCell ref="M15:M16"/>
    <mergeCell ref="AA11:AE11"/>
    <mergeCell ref="I14:M14"/>
    <mergeCell ref="O14:S14"/>
    <mergeCell ref="O15:O16"/>
    <mergeCell ref="P15:P16"/>
    <mergeCell ref="Q15:Q16"/>
    <mergeCell ref="R15:R16"/>
    <mergeCell ref="S15:S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7.1.1 - Caracterização</vt:lpstr>
      <vt:lpstr>7.5.1 Água</vt:lpstr>
      <vt:lpstr>7.5.2 Esgotos</vt:lpstr>
      <vt:lpstr>7.5.3 Lixo</vt:lpstr>
      <vt:lpstr>7.5.4 Drenagem</vt:lpstr>
      <vt:lpstr>8.3.1 Metas</vt:lpstr>
      <vt:lpstr>Populações</vt:lpstr>
      <vt:lpstr>Quadros 8.4.1 a 8.4.4</vt:lpstr>
      <vt:lpstr>Quadros 8.4.5 a 8.4.8 e 8.4.19 </vt:lpstr>
      <vt:lpstr>Quadros 8.4.9 a 8.4.12 e 8.4.20</vt:lpstr>
      <vt:lpstr>Quadros 8.4.13 a 8.4.16e 8.4.21</vt:lpstr>
      <vt:lpstr>Quadros 8.4.17 8.4.18e 8.4.22 </vt:lpstr>
      <vt:lpstr>Quadro 8.4.23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Adauto Santos</dc:creator>
  <cp:lastModifiedBy>Adauto Santos</cp:lastModifiedBy>
  <dcterms:created xsi:type="dcterms:W3CDTF">2018-07-04T19:00:56Z</dcterms:created>
  <dcterms:modified xsi:type="dcterms:W3CDTF">2018-09-27T01:29:17Z</dcterms:modified>
</cp:coreProperties>
</file>